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9440 Физика 7 класс" sheetId="1" state="visible" r:id="rId3"/>
    <sheet name="19441 Физика 8 класс" sheetId="2" state="visible" r:id="rId4"/>
    <sheet name="19442 Физика 9 класс" sheetId="3" state="visible" r:id="rId5"/>
    <sheet name="19443 Физика 10 класс" sheetId="4" state="visible" r:id="rId6"/>
    <sheet name="19444 Физика 11 класс" sheetId="5" state="visible" r:id="rId7"/>
    <sheet name="TimeZones" sheetId="6" state="veryHidden" r:id="rId8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<sst xmlns="http://schemas.openxmlformats.org/spreadsheetml/2006/main">
  <si>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</si>
  <si>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19440/edu820511/7/25g53gv8</t>
  </si>
  <si>
    <t>19440/edu820511/7/25g553gv</t>
  </si>
  <si>
    <t>19440/edu820511/7/25g573gv</t>
  </si>
  <si>
    <t>19440/edu820511/7/25g5q3gv</t>
  </si>
  <si>
    <t>19440/edu820511/7/25g5z3wv</t>
  </si>
  <si>
    <t>19440/edu820511/7/29w83zg6</t>
  </si>
  <si>
    <t>19440/edu820511/7/29w89zg6</t>
  </si>
  <si>
    <t>19440/edu820511/7/29w8qzg6</t>
  </si>
  <si>
    <t>19440/edu820511/7/29w8vzw6</t>
  </si>
  <si>
    <t>19440/edu820511/7/32gr75w9</t>
  </si>
  <si>
    <t>19440/edu820511/7/32grz5g9</t>
  </si>
  <si>
    <t>19440/edu820511/7/47w65qgq</t>
  </si>
  <si>
    <t>19440/edu820511/7/47w68qwq</t>
  </si>
  <si>
    <t>19440/edu820511/7/47w6qqgq</t>
  </si>
  <si>
    <t>19440/edu820511/7/47w6zqwq</t>
  </si>
  <si>
    <t>19440/edu820511/7/58wv9zg7</t>
  </si>
  <si>
    <t>19440/edu820511/7/58wvrzw7</t>
  </si>
  <si>
    <t>19440/edu820511/7/58wvvzw7</t>
  </si>
  <si>
    <t>19440/edu820511/7/58wvzw76</t>
  </si>
  <si>
    <t>19440/edu820511/7/58wvzzw7</t>
  </si>
  <si>
    <t>19440/edu820511/7/5zg45rw8</t>
  </si>
  <si>
    <t>19440/edu820511/7/5zg48rg8</t>
  </si>
  <si>
    <t>19440/edu820511/7/5zg4qrw8</t>
  </si>
  <si>
    <t>19440/edu820511/7/5zg4rg8v</t>
  </si>
  <si>
    <t>19440/edu820511/7/5zg4zrg8</t>
  </si>
  <si>
    <t>19440/edu820511/7/67w926g3</t>
  </si>
  <si>
    <t>19440/edu820511/7/67w966g3</t>
  </si>
  <si>
    <t>19440/edu820511/7/67w96g38</t>
  </si>
  <si>
    <t>19440/edu820511/7/67w976w3</t>
  </si>
  <si>
    <t>19440/edu820511/7/67w9r6g3</t>
  </si>
  <si>
    <t>19440/edu820511/7/92gq38gv</t>
  </si>
  <si>
    <t>19440/edu820511/7/92gq78gv</t>
  </si>
  <si>
    <t>19440/edu820511/7/92gqv8wv</t>
  </si>
  <si>
    <t>19440/edu820511/7/92gqz8wv</t>
  </si>
  <si>
    <t>19440/edu820511/7/q4w7q6wz</t>
  </si>
  <si>
    <t>19440/edu820511/7/r3w35rw6</t>
  </si>
  <si>
    <t>19440/edu820511/7/r3w37rw6</t>
  </si>
  <si>
    <t>19440/edu820511/7/r3w3qrw6</t>
  </si>
  <si>
    <t>19440/edu820511/7/r3w3rg62</t>
  </si>
  <si>
    <t>19440/edu820511/7/r3w3zrg6</t>
  </si>
  <si>
    <t>19440/edu820511/7/v4wz29w2</t>
  </si>
  <si>
    <t>19440/edu820511/7/v4wz59g2</t>
  </si>
  <si>
    <t>19440/edu820511/7/v4wz79g2</t>
  </si>
  <si>
    <t>19440/edu820511/7/v4wz9g25</t>
  </si>
  <si>
    <t>19440/edu820511/7/v4wzq9g2</t>
  </si>
  <si>
    <t>19440/edu820511/7/vzg258w6</t>
  </si>
  <si>
    <t>19440/edu820511/7/vzg28g68</t>
  </si>
  <si>
    <t>19440/edu820511/7/vzg2q8w6</t>
  </si>
  <si>
    <t>19442/edu820511/9/2wg8qz97</t>
  </si>
  <si>
    <t>19442/edu820511/9/2wg8rzg7</t>
  </si>
  <si>
    <t>19442/edu820511/9/2wg8wz97</t>
  </si>
  <si>
    <t>19442/edu820511/9/329r2598</t>
  </si>
  <si>
    <t>19442/edu820511/9/329r55g8</t>
  </si>
  <si>
    <t>19442/edu820511/9/329r8598</t>
  </si>
  <si>
    <t>19442/edu820511/9/329rz598</t>
  </si>
  <si>
    <t>19442/edu820511/9/3r955398</t>
  </si>
  <si>
    <t>19442/edu820511/9/3r957398</t>
  </si>
  <si>
    <t>19442/edu820511/9/3r95z3g8</t>
  </si>
  <si>
    <t>19442/edu820511/9/47g65q98</t>
  </si>
  <si>
    <t>19442/edu820511/9/47g68qg8</t>
  </si>
  <si>
    <t>19442/edu820511/9/47g6q98r</t>
  </si>
  <si>
    <t>19442/edu820511/9/47g6qq98</t>
  </si>
  <si>
    <t>19442/edu820511/9/47g6wq98</t>
  </si>
  <si>
    <t>19442/edu820511/9/47g6zqg8</t>
  </si>
  <si>
    <t>19442/edu820511/9/58gvrzgv</t>
  </si>
  <si>
    <t>19442/edu820511/9/58gvvzgv</t>
  </si>
  <si>
    <t>19442/edu820511/9/58gvwz9v</t>
  </si>
  <si>
    <t>19442/edu820511/9/58gvzgvr</t>
  </si>
  <si>
    <t>19442/edu820511/9/5z94qrg8</t>
  </si>
  <si>
    <t>19442/edu820511/9/6wgw495r</t>
  </si>
  <si>
    <t>19442/edu820511/9/6wgw6495</t>
  </si>
  <si>
    <t>19442/edu820511/9/6wgw74g5</t>
  </si>
  <si>
    <t>19442/edu820511/9/6wgw8495</t>
  </si>
  <si>
    <t>19442/edu820511/9/q4g76692</t>
  </si>
  <si>
    <t>19442/edu820511/9/q4g76925</t>
  </si>
  <si>
    <t>19442/edu820511/9/q4g7q6g2</t>
  </si>
  <si>
    <t>19442/edu820511/9/q4g7z692</t>
  </si>
  <si>
    <t>19442/edu820511/9/r3g3qrg2</t>
  </si>
  <si>
    <t>19442/edu820511/9/v4gz7w92</t>
  </si>
  <si>
    <t>19442/edu820511/9/v4gzqw92</t>
  </si>
  <si>
    <t>19442/edu820511/9/vz928968</t>
  </si>
  <si>
    <t>19442/edu820511/9/vz92v896</t>
  </si>
  <si>
    <t>19442/edu820511/9/w29q389v</t>
  </si>
  <si>
    <t>19442/edu820511/9/w29q8gvr</t>
  </si>
  <si>
    <t>19442/edu820511/9/w29qv8gv</t>
  </si>
  <si>
    <t>19442/edu820511/9/w29qz8gv</t>
  </si>
  <si>
    <t>19443/edu820511/10/28688q67</t>
  </si>
  <si>
    <t>19443/edu820511/10/2868qg7r</t>
  </si>
  <si>
    <t>19443/edu820511/10/2868qqg7</t>
  </si>
  <si>
    <t>19443/edu820511/10/326r5gq4</t>
  </si>
  <si>
    <t>19443/edu820511/10/326rz56q</t>
  </si>
  <si>
    <t>19443/edu820511/10/3z64wrgw</t>
  </si>
  <si>
    <t>19443/edu820511/10/476976qr</t>
  </si>
  <si>
    <t>19443/edu820511/10/4769776q</t>
  </si>
  <si>
    <t>19443/edu820511/10/4769976q</t>
  </si>
  <si>
    <t>19443/edu820511/10/5wgvvzgr</t>
  </si>
  <si>
    <t>19443/edu820511/10/5wgvzgr2</t>
  </si>
  <si>
    <t>19443/edu820511/10/826qvwgr</t>
  </si>
  <si>
    <t>19443/edu820511/10/826qw6r3</t>
  </si>
  <si>
    <t>19443/edu820511/10/986wwv67</t>
  </si>
  <si>
    <t>19443/edu820511/10/q4g79g32</t>
  </si>
  <si>
    <t>19443/edu820511/10/q4g7q9g3</t>
  </si>
  <si>
    <t>19443/edu820511/10/r3g3qrg7</t>
  </si>
  <si>
    <t>19443/edu820511/10/v4gz7863</t>
  </si>
  <si>
    <t>19443/edu820511/10/v4gz8g35</t>
  </si>
  <si>
    <t>19443/edu820511/10/vz62vw67</t>
  </si>
  <si>
    <t>19443/edu820511/10/vz62wg7w</t>
  </si>
  <si>
    <t>19444/edu820511/11/329r5wv4</t>
  </si>
  <si>
    <t>19444/edu820511/11/47w6q956</t>
  </si>
  <si>
    <t>19444/edu820511/11/47w6zqw5</t>
  </si>
  <si>
    <t>19444/edu820511/11/5gwvvzw6</t>
  </si>
  <si>
    <t>19444/edu820511/11/5gwvzw68</t>
  </si>
  <si>
    <t>19444/edu820511/11/r3w3r978</t>
  </si>
  <si>
    <t>19444/edu820511/11/v4wz8w5g</t>
  </si>
  <si>
    <t>19444/edu820511/11/vz92gw56</t>
  </si>
  <si>
    <t>UTC</t>
  </si>
  <si>
    <t>UTC (МСК-3, UTC)</t>
  </si>
  <si>
    <t>Аблялимова Диана Эльмаровна</t>
  </si>
  <si>
    <t>Абрамян Владислав Романович</t>
  </si>
  <si>
    <t>Александров Дмитрий Романович</t>
  </si>
  <si>
    <t>Алиева Лилиана Руслановна</t>
  </si>
  <si>
    <t>Анадырь</t>
  </si>
  <si>
    <t>Анадырь (МСК+9, UTC+12)</t>
  </si>
  <si>
    <t>Антагулова Виктория Павловна</t>
  </si>
  <si>
    <t>Арабаджиев Никита Иванович</t>
  </si>
  <si>
    <t>Астрахань</t>
  </si>
  <si>
    <t>Астрахань (МСК+1, UTC+4)</t>
  </si>
  <si>
    <t>Ахмадеев Айрат Фанузович</t>
  </si>
  <si>
    <t>Барнаул</t>
  </si>
  <si>
    <t>Барнаул (МСК+4, UTC+7)</t>
  </si>
  <si>
    <t>Безруков Ярослав</t>
  </si>
  <si>
    <t>Бобровник Кира Юрьевна</t>
  </si>
  <si>
    <t>Бойко Альбина</t>
  </si>
  <si>
    <t>Бойко Мария Евгеньевна</t>
  </si>
  <si>
    <t>Бондаренко Татьяна Максимовна</t>
  </si>
  <si>
    <t>Валенко Андрей Евгеньевич</t>
  </si>
  <si>
    <t>Варламов Константин Борисович</t>
  </si>
  <si>
    <t>Винник Антон Александрович</t>
  </si>
  <si>
    <t>Владивосток</t>
  </si>
  <si>
    <t>Владивосток (МСК+7, UTC+10)</t>
  </si>
  <si>
    <t>Войтенко Святослав Дмитриевич</t>
  </si>
  <si>
    <t>Волгоград</t>
  </si>
  <si>
    <t>Волгоград (МСК, UTC+3)</t>
  </si>
  <si>
    <t>Волобуев Дмитрий</t>
  </si>
  <si>
    <t>Гаврилюк Артем Юрьевич</t>
  </si>
  <si>
    <t>Ганакин Михаил Андреевич</t>
  </si>
  <si>
    <t>Гиренко Станислав Николаевич</t>
  </si>
  <si>
    <t>Глумилина Анастасия Денисовна</t>
  </si>
  <si>
    <t>Грамота</t>
  </si>
  <si>
    <t>Давыдова Евгения</t>
  </si>
  <si>
    <t>Демьянова Анастасия Дмитриевна</t>
  </si>
  <si>
    <t>Демьянова Екатерина</t>
  </si>
  <si>
    <t>Дорошенко Артем Егорович</t>
  </si>
  <si>
    <t>Дурнова Алиса Кирилловна</t>
  </si>
  <si>
    <t>Екатеринбург</t>
  </si>
  <si>
    <t>Екатеринбург (МСК+2, UTC+5)</t>
  </si>
  <si>
    <t>Захаркин Руслан Александрович</t>
  </si>
  <si>
    <t>Зеленкевич Алиса Николаевна</t>
  </si>
  <si>
    <t>Зинаков Кирилл Александрович</t>
  </si>
  <si>
    <t>Зиновьев Федр Петрович</t>
  </si>
  <si>
    <t>Зылев Данил Романович</t>
  </si>
  <si>
    <t>Иванченко Тимур Сергеевич</t>
  </si>
  <si>
    <t>Ивченко Вероника Павловна</t>
  </si>
  <si>
    <t>Иркутск</t>
  </si>
  <si>
    <t>Иркутск (МСК+5, UTC+8)</t>
  </si>
  <si>
    <t>Иштуков Кирилл Михайлович</t>
  </si>
  <si>
    <t>Калининград</t>
  </si>
  <si>
    <t>Калининград (МСК-1, UTC+2)</t>
  </si>
  <si>
    <t>Каменски Дарья Анатольевна</t>
  </si>
  <si>
    <t>Камчатка</t>
  </si>
  <si>
    <t>Камчатка (МСК+9, UTC+12)</t>
  </si>
  <si>
    <t>Керимова Амина Эрвиновна</t>
  </si>
  <si>
    <t>Киров</t>
  </si>
  <si>
    <t>Киров (МСК, UTC+3)</t>
  </si>
  <si>
    <t>Клещенко Алексей Алексеевич</t>
  </si>
  <si>
    <t>Код</t>
  </si>
  <si>
    <t>Компаниец Анатолий Алексанович</t>
  </si>
  <si>
    <t>Коротков Олег Станиславович</t>
  </si>
  <si>
    <t>Котельников Владимир Александрович</t>
  </si>
  <si>
    <t>Кошелева Ксения Алексеевна</t>
  </si>
  <si>
    <t>Красноярск</t>
  </si>
  <si>
    <t>Красноярск (МСК+4, UTC+7)</t>
  </si>
  <si>
    <t>Крымлов Артем Витальевич</t>
  </si>
  <si>
    <t>Кулик Борис Дмитриевич</t>
  </si>
  <si>
    <t>Курсеитова Эмилия Витальевна</t>
  </si>
  <si>
    <t>Куртаметов Эльдар Эрвинович</t>
  </si>
  <si>
    <t>Лавренкова Марина Игоревна</t>
  </si>
  <si>
    <t>Лагутина Анастасия Константиновна</t>
  </si>
  <si>
    <t>Лебедева Каролина</t>
  </si>
  <si>
    <t>Лобанова Любовь Романовна</t>
  </si>
  <si>
    <t>Ломакин Павел Павлович</t>
  </si>
  <si>
    <t>Лукоянова Елизавета Егоровна</t>
  </si>
  <si>
    <t>Лунева Мария</t>
  </si>
  <si>
    <t>Магадан</t>
  </si>
  <si>
    <t>Магадан (МСК+8, UTC+11)</t>
  </si>
  <si>
    <t>Макаева Вероника Александровна</t>
  </si>
  <si>
    <t>Макаров Станислав Валерьевич</t>
  </si>
  <si>
    <t>Макий Виолетта Сергеевна</t>
  </si>
  <si>
    <t>Максимальный балл</t>
  </si>
  <si>
    <t>Малинин Всеволод Владимирович</t>
  </si>
  <si>
    <t>Малинин Ярослав Владимирович</t>
  </si>
  <si>
    <t>Мальченко Анна Андреевна</t>
  </si>
  <si>
    <t>Манойло Никита Витальевич</t>
  </si>
  <si>
    <t>Маркова Ангелина Владимировна</t>
  </si>
  <si>
    <t>Марченко Денис Сергеевич</t>
  </si>
  <si>
    <t>Мезинцова Елизавета Анатольевна</t>
  </si>
  <si>
    <t>Мементова Элина Васильевна</t>
  </si>
  <si>
    <t>Мерненко Андрей Олегович</t>
  </si>
  <si>
    <t>Мироненко Дарья Ниолаевна</t>
  </si>
  <si>
    <t>Михайловская Ева Сергеевна</t>
  </si>
  <si>
    <t>Михеева София Карэновна</t>
  </si>
  <si>
    <t>Мищенко Ника Евгеньевна</t>
  </si>
  <si>
    <t>Москва</t>
  </si>
  <si>
    <t>Москва (МСК, UTC+3)</t>
  </si>
  <si>
    <t>Муратова Полина Алексеевна</t>
  </si>
  <si>
    <t>Набранные баллы</t>
  </si>
  <si>
    <t>Наговский Егор Николаевич</t>
  </si>
  <si>
    <t>Наджафов Туран Дмитриевич</t>
  </si>
  <si>
    <t>Никитина Василиса Артемовна</t>
  </si>
  <si>
    <t>Никифорова Кира Никитовна</t>
  </si>
  <si>
    <t>Никулин Илья Денисович</t>
  </si>
  <si>
    <t>Новокузнецк</t>
  </si>
  <si>
    <t>Новокузнецк (МСК+4, UTC+7)</t>
  </si>
  <si>
    <t>Новосибирск</t>
  </si>
  <si>
    <t>Новосибирск (МСК+4, UTC+7)</t>
  </si>
  <si>
    <t>Ноговицин Даниил Артемович</t>
  </si>
  <si>
    <t>Нуров Рустам Абубакрович</t>
  </si>
  <si>
    <t>Оганесян Ева Оганесовна</t>
  </si>
  <si>
    <t>Омск</t>
  </si>
  <si>
    <t>Омск (МСК+3, UTC+6)</t>
  </si>
  <si>
    <t>Панова Амелия Алексеевна</t>
  </si>
  <si>
    <t>Парфененко Елена Дмитриевна</t>
  </si>
  <si>
    <t>Петров Дмитрий Владимирович</t>
  </si>
  <si>
    <t>Полулях Макар Юрьевич</t>
  </si>
  <si>
    <t>Портягина Ангелина Максимовна</t>
  </si>
  <si>
    <t>Ракова Маргарита Дмитриевна</t>
  </si>
  <si>
    <t>Редказубов Ярослав Валерьевич</t>
  </si>
  <si>
    <t>Родин Данил Дмитриевич</t>
  </si>
  <si>
    <t>Рудницкая Валерия Максимовна</t>
  </si>
  <si>
    <t>Савина Елизавета Олеговна</t>
  </si>
  <si>
    <t>Сальная София Ивановна</t>
  </si>
  <si>
    <t>Самара</t>
  </si>
  <si>
    <t>Самара (МСК+1, UTC+4)</t>
  </si>
  <si>
    <t>Саратов</t>
  </si>
  <si>
    <t>Саратов (МСК+1, UTC+4)</t>
  </si>
  <si>
    <t>Сахалин</t>
  </si>
  <si>
    <t>Сахалин (МСК+8, UTC+11)</t>
  </si>
  <si>
    <t>Севастьянова Анастасия Алексеевна</t>
  </si>
  <si>
    <t>Симферополь</t>
  </si>
  <si>
    <t>Симферополь (МСК, UTC+3)</t>
  </si>
  <si>
    <t>Синкевич Злата</t>
  </si>
  <si>
    <t>Скрипников Степан Александрович</t>
  </si>
  <si>
    <t>Сметанин Даниил Александрович</t>
  </si>
  <si>
    <t>Список участников появится после окончания олимпиады, если они будут</t>
  </si>
  <si>
    <t>Среднеколымск</t>
  </si>
  <si>
    <t>Среднеколымск (МСК+8, UTC+11)</t>
  </si>
  <si>
    <t>Статус</t>
  </si>
  <si>
    <t>Сташ Мария Руслановна</t>
  </si>
  <si>
    <t>Стельмах Богдан Александрович</t>
  </si>
  <si>
    <t>Степанчук Максим Юрьевич</t>
  </si>
  <si>
    <t>Столицына Ирина Андреевна</t>
  </si>
  <si>
    <t>Сульжук София Леонидовна</t>
  </si>
  <si>
    <t>Тагиева Эсмира Сабухи кызы</t>
  </si>
  <si>
    <t>Тодоров Иван Сергеевич</t>
  </si>
  <si>
    <t>Томск</t>
  </si>
  <si>
    <t>Томск (МСК+4, UTC+7)</t>
  </si>
  <si>
    <t>Торута Екатерина Алексеевна</t>
  </si>
  <si>
    <t>Трегубенко Ксения Дмитриевна</t>
  </si>
  <si>
    <t>Трофименко Алексей Николаевич</t>
  </si>
  <si>
    <t>Ульяновск</t>
  </si>
  <si>
    <t>Ульяновск (МСК+1, UTC+4)</t>
  </si>
  <si>
    <t>Усть-Нера</t>
  </si>
  <si>
    <t>Усть-Нера (МСК+7, UTC+10)</t>
  </si>
  <si>
    <t>Ушакова София Дмитриевна</t>
  </si>
  <si>
    <t>ФИО</t>
  </si>
  <si>
    <t>Хандыга</t>
  </si>
  <si>
    <t>Хандыга (МСК+6, UTC+9)</t>
  </si>
  <si>
    <t>Хиталенко Сифия Сергеевна</t>
  </si>
  <si>
    <t>Хращевская Карина Руслановна</t>
  </si>
  <si>
    <t>Цымбаленко Анастасия Васильевна</t>
  </si>
  <si>
    <t>Часовой пояс</t>
  </si>
  <si>
    <t>Чита</t>
  </si>
  <si>
    <t>Чита (МСК+6, UTC+9)</t>
  </si>
  <si>
    <t>Чумасова Арина Александровна</t>
  </si>
  <si>
    <t>Юлин Виктор Юрьевич</t>
  </si>
  <si>
    <t>Якутск</t>
  </si>
  <si>
    <t>Якутск (МСК+6, UTC+9)</t>
  </si>
  <si>
    <t>Яшкин Матвей Валериевич</t>
  </si>
  <si>
    <t>громак иван сергеевич</t>
  </si>
  <si>
    <t>позняк карина</t>
  </si>
  <si>
    <t>сутягин-вербитский серафим</t>
  </si>
  <si>
    <t>шевченко олег</t>
  </si>
</sst>
</file>

<file path=xl/styles.xml><?xml version="1.0" encoding="utf-8"?>
<!--Stylesheet generated by xlsx-->
<styleSheet xmlns="http://schemas.openxmlformats.org/spreadsheetml/2006/main">
  <numFmts count="2">
    <numFmt formatCode="##0.0" numFmtId="164"/>
    <numFmt formatCode="dd mmmm yyyy &quot;в&quot; hh:mm" numFmtId="165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6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  <xf applyAlignment="1" applyFont="1" applyNumberFormat="1" fontId="2" numFmtId="165">
      <alignment horizontal="left" vertical="center" wrapText="1"/>
    </xf>
    <xf applyAlignment="1" applyFont="1" fontId="2">
      <alignment horizontal="left" vertical="center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23.2"/>
    <col customWidth="1" max="5" min="5" width="46.4"/>
    <col customWidth="1" max="6" min="6" width="46.4"/>
    <col customWidth="1" max="7" min="7" width="23.2"/>
    <col customWidth="1" max="8" min="8" width="46.4"/>
  </cols>
  <sheetData>
    <row collapsed="false" customFormat="true" customHeight="false" hidden="false" outlineLevel="0" r="1">
      <c r="A1" s="1" t="s">
        <v>281</v>
      </c>
      <c r="B1" s="2" t="s">
        <v>214</v>
      </c>
    </row>
    <row collapsed="false" customFormat="true" customHeight="false" hidden="false" outlineLevel="0" r="3">
      <c r="A3" s="1" t="s">
        <v>176</v>
      </c>
      <c r="B3" s="1" t="s">
        <v>275</v>
      </c>
      <c r="C3" s="1" t="s">
        <v>216</v>
      </c>
      <c r="D3" s="1" t="s">
        <v>199</v>
      </c>
      <c r="E3" s="1" t="str">
        <f>"Время начала сессии (" &amp; VLOOKUP($B$1,TimeZones!$A$1:$C$28,3,FALSE) &amp; ")"</f>
        <v>Время начала сессии (Москва)</v>
      </c>
      <c r="F3" s="1" t="str">
        <f>"Время конца сессии (" &amp; VLOOKUP($B$1,TimeZones!$A$1:$C$28,3,FALSE) &amp; ")"</f>
        <v>Время конца сессии (Москва)</v>
      </c>
      <c r="G3" s="1" t="s">
        <v>257</v>
      </c>
      <c r="H3" s="1" t="s">
        <v>149</v>
      </c>
    </row>
    <row collapsed="false" customFormat="true" customHeight="false" hidden="false" outlineLevel="0" r="4">
      <c r="A4" s="2" t="s">
        <v>28</v>
      </c>
      <c r="B4" s="2" t="s">
        <v>118</v>
      </c>
      <c r="C4" s="3" t="n">
        <v>20</v>
      </c>
      <c r="D4" s="3" t="n">
        <v>30</v>
      </c>
      <c r="E4" s="4" t="n">
        <f>46294.3986532431 + (VLOOKUP($B$1,TimeZones!$A$1:$C$28,2,FALSE))/24</f>
        <v>46294.52365324312</v>
      </c>
      <c r="F4" s="4" t="n">
        <f>46294.4037382537 + (VLOOKUP($B$1,TimeZones!$A$1:$C$28,2,FALSE))/24</f>
        <v>46294.528738253655</v>
      </c>
      <c r="G4" s="2" t="s">
        <v>0</v>
      </c>
    </row>
    <row collapsed="false" customFormat="true" customHeight="false" hidden="false" outlineLevel="0" r="5">
      <c r="A5" s="2" t="s">
        <v>5</v>
      </c>
      <c r="B5" s="2" t="s">
        <v>119</v>
      </c>
      <c r="C5" s="3" t="n">
        <v>20</v>
      </c>
      <c r="D5" s="3" t="n">
        <v>30</v>
      </c>
      <c r="E5" s="4" t="n">
        <f>46294.4067129157 + (VLOOKUP($B$1,TimeZones!$A$1:$C$28,2,FALSE))/24</f>
        <v>46294.5317129157</v>
      </c>
      <c r="F5" s="4" t="n">
        <f>46294.4096770748 + (VLOOKUP($B$1,TimeZones!$A$1:$C$28,2,FALSE))/24</f>
        <v>46294.53467707485</v>
      </c>
      <c r="G5" s="2" t="s">
        <v>0</v>
      </c>
    </row>
    <row collapsed="false" customFormat="true" customHeight="false" hidden="false" outlineLevel="0" r="6">
      <c r="A6" s="2" t="s">
        <v>43</v>
      </c>
      <c r="B6" s="2" t="s">
        <v>121</v>
      </c>
      <c r="C6" s="3" t="n">
        <v>20</v>
      </c>
      <c r="D6" s="3" t="n">
        <v>30</v>
      </c>
      <c r="E6" s="4" t="n">
        <f>46294.4433186777 + (VLOOKUP($B$1,TimeZones!$A$1:$C$28,2,FALSE))/24</f>
        <v>46294.56831867767</v>
      </c>
      <c r="F6" s="4" t="n">
        <f>46294.4467231288 + (VLOOKUP($B$1,TimeZones!$A$1:$C$28,2,FALSE))/24</f>
        <v>46294.57172312882</v>
      </c>
      <c r="G6" s="2" t="s">
        <v>0</v>
      </c>
    </row>
    <row collapsed="false" customFormat="true" customHeight="false" hidden="false" outlineLevel="0" r="7">
      <c r="A7" s="2" t="s">
        <v>35</v>
      </c>
      <c r="B7" s="2" t="s">
        <v>146</v>
      </c>
      <c r="C7" s="3" t="n">
        <v>20</v>
      </c>
      <c r="D7" s="3" t="n">
        <v>30</v>
      </c>
      <c r="E7" s="4" t="n">
        <f>46294.4129363997 + (VLOOKUP($B$1,TimeZones!$A$1:$C$28,2,FALSE))/24</f>
        <v>46294.537936399734</v>
      </c>
      <c r="F7" s="4" t="n">
        <f>46294.4152394696 + (VLOOKUP($B$1,TimeZones!$A$1:$C$28,2,FALSE))/24</f>
        <v>46294.54023946963</v>
      </c>
      <c r="G7" s="2" t="s">
        <v>0</v>
      </c>
    </row>
    <row collapsed="false" customFormat="true" customHeight="false" hidden="false" outlineLevel="0" r="8">
      <c r="A8" s="2" t="s">
        <v>37</v>
      </c>
      <c r="B8" s="2" t="s">
        <v>154</v>
      </c>
      <c r="C8" s="3" t="n">
        <v>20</v>
      </c>
      <c r="D8" s="3" t="n">
        <v>30</v>
      </c>
      <c r="E8" s="4" t="n">
        <f>46294.4459187175 + (VLOOKUP($B$1,TimeZones!$A$1:$C$28,2,FALSE))/24</f>
        <v>46294.57091871754</v>
      </c>
      <c r="F8" s="4" t="n">
        <f>46294.4490698307 + (VLOOKUP($B$1,TimeZones!$A$1:$C$28,2,FALSE))/24</f>
        <v>46294.57406983067</v>
      </c>
      <c r="G8" s="2" t="s">
        <v>0</v>
      </c>
    </row>
    <row collapsed="false" customFormat="true" customHeight="false" hidden="false" outlineLevel="0" r="9">
      <c r="A9" s="2" t="s">
        <v>24</v>
      </c>
      <c r="B9" s="2" t="s">
        <v>212</v>
      </c>
      <c r="C9" s="3" t="n">
        <v>20</v>
      </c>
      <c r="D9" s="3" t="n">
        <v>30</v>
      </c>
      <c r="E9" s="4" t="n">
        <f>46294.4129239147 + (VLOOKUP($B$1,TimeZones!$A$1:$C$28,2,FALSE))/24</f>
        <v>46294.537923914744</v>
      </c>
      <c r="F9" s="4" t="n">
        <f>46294.4148391040 + (VLOOKUP($B$1,TimeZones!$A$1:$C$28,2,FALSE))/24</f>
        <v>46294.53983910403</v>
      </c>
      <c r="G9" s="2" t="s">
        <v>0</v>
      </c>
    </row>
    <row collapsed="false" customFormat="true" customHeight="false" hidden="false" outlineLevel="0" r="10">
      <c r="A10" s="2" t="s">
        <v>16</v>
      </c>
      <c r="B10" s="2" t="s">
        <v>217</v>
      </c>
      <c r="C10" s="3" t="n">
        <v>20</v>
      </c>
      <c r="D10" s="3" t="n">
        <v>30</v>
      </c>
      <c r="E10" s="4" t="n">
        <f>46294.4285789391 + (VLOOKUP($B$1,TimeZones!$A$1:$C$28,2,FALSE))/24</f>
        <v>46294.55357893913</v>
      </c>
      <c r="F10" s="4" t="n">
        <f>46294.4347314872 + (VLOOKUP($B$1,TimeZones!$A$1:$C$28,2,FALSE))/24</f>
        <v>46294.55973148716</v>
      </c>
      <c r="G10" s="2" t="s">
        <v>0</v>
      </c>
    </row>
    <row collapsed="false" customFormat="true" customHeight="false" hidden="false" outlineLevel="0" r="11">
      <c r="A11" s="2" t="s">
        <v>14</v>
      </c>
      <c r="B11" s="2" t="s">
        <v>221</v>
      </c>
      <c r="C11" s="3" t="n">
        <v>20</v>
      </c>
      <c r="D11" s="3" t="n">
        <v>30</v>
      </c>
      <c r="E11" s="4" t="n">
        <f>46294.4376812359 + (VLOOKUP($B$1,TimeZones!$A$1:$C$28,2,FALSE))/24</f>
        <v>46294.56268123588</v>
      </c>
      <c r="F11" s="4" t="n">
        <f>46294.4407380522 + (VLOOKUP($B$1,TimeZones!$A$1:$C$28,2,FALSE))/24</f>
        <v>46294.56573805215</v>
      </c>
      <c r="G11" s="2" t="s">
        <v>0</v>
      </c>
    </row>
    <row collapsed="false" customFormat="true" customHeight="false" hidden="false" outlineLevel="0" r="12">
      <c r="A12" s="2" t="s">
        <v>19</v>
      </c>
      <c r="B12" s="2" t="s">
        <v>259</v>
      </c>
      <c r="C12" s="3" t="n">
        <v>20</v>
      </c>
      <c r="D12" s="3" t="n">
        <v>30</v>
      </c>
      <c r="E12" s="4" t="n">
        <f>46294.4540851780 + (VLOOKUP($B$1,TimeZones!$A$1:$C$28,2,FALSE))/24</f>
        <v>46294.579085178</v>
      </c>
      <c r="F12" s="4" t="n">
        <f>46294.4559928080 + (VLOOKUP($B$1,TimeZones!$A$1:$C$28,2,FALSE))/24</f>
        <v>46294.580992808034</v>
      </c>
      <c r="G12" s="2" t="s">
        <v>0</v>
      </c>
    </row>
    <row collapsed="false" customFormat="true" customHeight="false" hidden="false" outlineLevel="0" r="13">
      <c r="A13" s="2" t="s">
        <v>6</v>
      </c>
      <c r="B13" s="2" t="s">
        <v>261</v>
      </c>
      <c r="C13" s="3" t="n">
        <v>20</v>
      </c>
      <c r="D13" s="3" t="n">
        <v>30</v>
      </c>
      <c r="E13" s="4" t="n">
        <f>46294.4572094477 + (VLOOKUP($B$1,TimeZones!$A$1:$C$28,2,FALSE))/24</f>
        <v>46294.5822094477</v>
      </c>
      <c r="F13" s="4" t="n">
        <f>46294.4605119846 + (VLOOKUP($B$1,TimeZones!$A$1:$C$28,2,FALSE))/24</f>
        <v>46294.58551198463</v>
      </c>
      <c r="G13" s="2" t="s">
        <v>0</v>
      </c>
    </row>
    <row collapsed="false" customFormat="true" customHeight="false" hidden="false" outlineLevel="0" r="14">
      <c r="A14" s="2" t="s">
        <v>1</v>
      </c>
      <c r="B14" s="2" t="s">
        <v>274</v>
      </c>
      <c r="C14" s="3" t="n">
        <v>20</v>
      </c>
      <c r="D14" s="3" t="n">
        <v>30</v>
      </c>
      <c r="E14" s="4" t="n">
        <f>46294.4365038900 + (VLOOKUP($B$1,TimeZones!$A$1:$C$28,2,FALSE))/24</f>
        <v>46294.561503889985</v>
      </c>
      <c r="F14" s="4" t="n">
        <f>46294.4412591916 + (VLOOKUP($B$1,TimeZones!$A$1:$C$28,2,FALSE))/24</f>
        <v>46294.56625919158</v>
      </c>
      <c r="G14" s="2" t="s">
        <v>0</v>
      </c>
    </row>
    <row collapsed="false" customFormat="true" customHeight="false" hidden="false" outlineLevel="0" r="15">
      <c r="A15" s="2" t="s">
        <v>46</v>
      </c>
      <c r="B15" s="2" t="s">
        <v>288</v>
      </c>
      <c r="C15" s="3" t="n">
        <v>20</v>
      </c>
      <c r="D15" s="3" t="n">
        <v>30</v>
      </c>
      <c r="E15" s="4" t="n">
        <f>46294.4233808341 + (VLOOKUP($B$1,TimeZones!$A$1:$C$28,2,FALSE))/24</f>
        <v>46294.54838083411</v>
      </c>
      <c r="F15" s="4" t="n">
        <f>46294.4265260669 + (VLOOKUP($B$1,TimeZones!$A$1:$C$28,2,FALSE))/24</f>
        <v>46294.55152606688</v>
      </c>
      <c r="G15" s="2" t="s">
        <v>0</v>
      </c>
    </row>
    <row collapsed="false" customFormat="true" customHeight="false" hidden="false" outlineLevel="0" r="16">
      <c r="A16" s="2" t="s">
        <v>42</v>
      </c>
      <c r="B16" s="2" t="s">
        <v>132</v>
      </c>
      <c r="C16" s="3" t="n">
        <v>17</v>
      </c>
      <c r="D16" s="3" t="n">
        <v>30</v>
      </c>
      <c r="E16" s="4" t="n">
        <f>46294.4542811711 + (VLOOKUP($B$1,TimeZones!$A$1:$C$28,2,FALSE))/24</f>
        <v>46294.579281171136</v>
      </c>
      <c r="F16" s="4" t="n">
        <f>46294.4567304612 + (VLOOKUP($B$1,TimeZones!$A$1:$C$28,2,FALSE))/24</f>
        <v>46294.58173046123</v>
      </c>
      <c r="G16" s="2" t="s">
        <v>0</v>
      </c>
    </row>
    <row collapsed="false" customFormat="true" customHeight="false" hidden="false" outlineLevel="0" r="17">
      <c r="A17" s="2" t="s">
        <v>22</v>
      </c>
      <c r="B17" s="2" t="s">
        <v>151</v>
      </c>
      <c r="C17" s="3" t="n">
        <v>17</v>
      </c>
      <c r="D17" s="3" t="n">
        <v>30</v>
      </c>
      <c r="E17" s="4" t="n">
        <f>46294.4556884715 + (VLOOKUP($B$1,TimeZones!$A$1:$C$28,2,FALSE))/24</f>
        <v>46294.58068847149</v>
      </c>
      <c r="F17" s="4" t="n">
        <f>46294.4590026474 + (VLOOKUP($B$1,TimeZones!$A$1:$C$28,2,FALSE))/24</f>
        <v>46294.58400264736</v>
      </c>
      <c r="G17" s="2" t="s">
        <v>0</v>
      </c>
    </row>
    <row collapsed="false" customFormat="true" customHeight="false" hidden="false" outlineLevel="0" r="18">
      <c r="A18" s="2" t="s">
        <v>12</v>
      </c>
      <c r="B18" s="2" t="s">
        <v>198</v>
      </c>
      <c r="C18" s="3" t="n">
        <v>17</v>
      </c>
      <c r="D18" s="3" t="n">
        <v>30</v>
      </c>
      <c r="E18" s="4" t="n">
        <f>46294.4089468612 + (VLOOKUP($B$1,TimeZones!$A$1:$C$28,2,FALSE))/24</f>
        <v>46294.53394686116</v>
      </c>
      <c r="F18" s="4" t="n">
        <f>46294.4115525979 + (VLOOKUP($B$1,TimeZones!$A$1:$C$28,2,FALSE))/24</f>
        <v>46294.536552597856</v>
      </c>
      <c r="G18" s="2" t="s">
        <v>0</v>
      </c>
    </row>
    <row collapsed="false" customFormat="true" customHeight="false" hidden="false" outlineLevel="0" r="19">
      <c r="A19" s="2" t="s">
        <v>20</v>
      </c>
      <c r="B19" s="2" t="s">
        <v>218</v>
      </c>
      <c r="C19" s="3" t="n">
        <v>17</v>
      </c>
      <c r="D19" s="3" t="n">
        <v>30</v>
      </c>
      <c r="E19" s="4" t="n">
        <f>46294.4164767245 + (VLOOKUP($B$1,TimeZones!$A$1:$C$28,2,FALSE))/24</f>
        <v>46294.54147672449</v>
      </c>
      <c r="F19" s="4" t="n">
        <f>46294.4199308339 + (VLOOKUP($B$1,TimeZones!$A$1:$C$28,2,FALSE))/24</f>
        <v>46294.544930833945</v>
      </c>
      <c r="G19" s="2" t="s">
        <v>0</v>
      </c>
    </row>
    <row collapsed="false" customFormat="true" customHeight="false" hidden="false" outlineLevel="0" r="20">
      <c r="A20" s="2" t="s">
        <v>40</v>
      </c>
      <c r="B20" s="2" t="s">
        <v>124</v>
      </c>
      <c r="C20" s="3" t="n">
        <v>16</v>
      </c>
      <c r="D20" s="3" t="n">
        <v>30</v>
      </c>
      <c r="E20" s="4" t="n">
        <f>46294.4196016756 + (VLOOKUP($B$1,TimeZones!$A$1:$C$28,2,FALSE))/24</f>
        <v>46294.54460167565</v>
      </c>
      <c r="F20" s="4" t="n">
        <f>46294.4300628763 + (VLOOKUP($B$1,TimeZones!$A$1:$C$28,2,FALSE))/24</f>
        <v>46294.55506287631</v>
      </c>
      <c r="G20" s="2" t="s">
        <v>0</v>
      </c>
    </row>
    <row collapsed="false" customFormat="true" customHeight="false" hidden="false" outlineLevel="0" r="21">
      <c r="A21" s="2" t="s">
        <v>11</v>
      </c>
      <c r="B21" s="2" t="s">
        <v>188</v>
      </c>
      <c r="C21" s="3" t="n">
        <v>14</v>
      </c>
      <c r="D21" s="3" t="n">
        <v>30</v>
      </c>
      <c r="E21" s="4" t="n">
        <f>46294.4493683590 + (VLOOKUP($B$1,TimeZones!$A$1:$C$28,2,FALSE))/24</f>
        <v>46294.57436835902</v>
      </c>
      <c r="F21" s="4" t="n">
        <f>46294.4521964556 + (VLOOKUP($B$1,TimeZones!$A$1:$C$28,2,FALSE))/24</f>
        <v>46294.57719645555</v>
      </c>
      <c r="G21" s="2" t="s">
        <v>0</v>
      </c>
    </row>
    <row collapsed="false" customFormat="true" customHeight="false" hidden="false" outlineLevel="0" r="22">
      <c r="A22" s="2" t="s">
        <v>29</v>
      </c>
      <c r="B22" s="2" t="s">
        <v>205</v>
      </c>
      <c r="C22" s="3" t="n">
        <v>14</v>
      </c>
      <c r="D22" s="3" t="n">
        <v>30</v>
      </c>
      <c r="E22" s="4" t="n">
        <f>46294.4456016420 + (VLOOKUP($B$1,TimeZones!$A$1:$C$28,2,FALSE))/24</f>
        <v>46294.57060164205</v>
      </c>
      <c r="F22" s="4" t="n">
        <f>46294.4487295842 + (VLOOKUP($B$1,TimeZones!$A$1:$C$28,2,FALSE))/24</f>
        <v>46294.57372958425</v>
      </c>
      <c r="G22" s="2" t="s">
        <v>0</v>
      </c>
    </row>
    <row collapsed="false" customFormat="true" customHeight="false" hidden="false" outlineLevel="0" r="23">
      <c r="A23" s="2" t="s">
        <v>26</v>
      </c>
      <c r="B23" s="2" t="s">
        <v>220</v>
      </c>
      <c r="C23" s="3" t="n">
        <v>14</v>
      </c>
      <c r="D23" s="3" t="n">
        <v>30</v>
      </c>
      <c r="E23" s="4" t="n">
        <f>46294.4323963612 + (VLOOKUP($B$1,TimeZones!$A$1:$C$28,2,FALSE))/24</f>
        <v>46294.55739636124</v>
      </c>
      <c r="F23" s="4" t="n">
        <f>46294.4376055712 + (VLOOKUP($B$1,TimeZones!$A$1:$C$28,2,FALSE))/24</f>
        <v>46294.562605571155</v>
      </c>
      <c r="G23" s="2" t="s">
        <v>0</v>
      </c>
    </row>
    <row collapsed="false" customFormat="true" customHeight="false" hidden="false" outlineLevel="0" r="24">
      <c r="A24" s="2" t="s">
        <v>31</v>
      </c>
      <c r="B24" s="2" t="s">
        <v>253</v>
      </c>
      <c r="C24" s="3" t="n">
        <v>14</v>
      </c>
      <c r="D24" s="3" t="n">
        <v>30</v>
      </c>
      <c r="E24" s="4" t="n">
        <f>46294.4523770113 + (VLOOKUP($B$1,TimeZones!$A$1:$C$28,2,FALSE))/24</f>
        <v>46294.57737701129</v>
      </c>
      <c r="F24" s="4" t="n">
        <f>46294.4572142356 + (VLOOKUP($B$1,TimeZones!$A$1:$C$28,2,FALSE))/24</f>
        <v>46294.582214235576</v>
      </c>
      <c r="G24" s="2" t="s">
        <v>0</v>
      </c>
    </row>
    <row collapsed="false" customFormat="true" customHeight="false" hidden="false" outlineLevel="0" r="25">
      <c r="A25" s="2" t="s">
        <v>15</v>
      </c>
      <c r="B25" s="2" t="s">
        <v>208</v>
      </c>
      <c r="C25" s="3" t="n">
        <v>13</v>
      </c>
      <c r="D25" s="3" t="n">
        <v>30</v>
      </c>
      <c r="E25" s="4" t="n">
        <f>46294.3571912690 + (VLOOKUP($B$1,TimeZones!$A$1:$C$28,2,FALSE))/24</f>
        <v>46294.48219126902</v>
      </c>
      <c r="F25" s="4" t="n">
        <f>46294.4061186454 + (VLOOKUP($B$1,TimeZones!$A$1:$C$28,2,FALSE))/24</f>
        <v>46294.53111864543</v>
      </c>
      <c r="G25" s="2" t="s">
        <v>0</v>
      </c>
    </row>
    <row collapsed="false" customFormat="true" customHeight="false" hidden="false" outlineLevel="0" r="26">
      <c r="A26" s="2" t="s">
        <v>48</v>
      </c>
      <c r="B26" s="2" t="s">
        <v>137</v>
      </c>
      <c r="C26" s="3" t="n">
        <v>12</v>
      </c>
      <c r="D26" s="3" t="n">
        <v>30</v>
      </c>
      <c r="E26" s="4" t="n">
        <f>46294.4503801456 + (VLOOKUP($B$1,TimeZones!$A$1:$C$28,2,FALSE))/24</f>
        <v>46294.575380145616</v>
      </c>
      <c r="F26" s="4" t="n">
        <f>46294.4525325223 + (VLOOKUP($B$1,TimeZones!$A$1:$C$28,2,FALSE))/24</f>
        <v>46294.57753252234</v>
      </c>
      <c r="G26" s="2" t="s">
        <v>0</v>
      </c>
    </row>
    <row collapsed="false" customFormat="true" customHeight="false" hidden="false" outlineLevel="0" r="27">
      <c r="A27" s="2" t="s">
        <v>4</v>
      </c>
      <c r="B27" s="2" t="s">
        <v>153</v>
      </c>
      <c r="C27" s="3" t="n">
        <v>12</v>
      </c>
      <c r="D27" s="3" t="n">
        <v>30</v>
      </c>
      <c r="E27" s="4" t="n">
        <f>46294.4451519053 + (VLOOKUP($B$1,TimeZones!$A$1:$C$28,2,FALSE))/24</f>
        <v>46294.57015190527</v>
      </c>
      <c r="F27" s="4" t="n">
        <f>46294.4473152717 + (VLOOKUP($B$1,TimeZones!$A$1:$C$28,2,FALSE))/24</f>
        <v>46294.57231527169</v>
      </c>
      <c r="G27" s="2" t="s">
        <v>0</v>
      </c>
    </row>
    <row collapsed="false" customFormat="true" customHeight="false" hidden="false" outlineLevel="0" r="28">
      <c r="A28" s="2" t="s">
        <v>39</v>
      </c>
      <c r="B28" s="2" t="s">
        <v>178</v>
      </c>
      <c r="C28" s="3" t="n">
        <v>12</v>
      </c>
      <c r="D28" s="3" t="n">
        <v>30</v>
      </c>
      <c r="E28" s="4" t="n">
        <f>46294.4542898825 + (VLOOKUP($B$1,TimeZones!$A$1:$C$28,2,FALSE))/24</f>
        <v>46294.57928988249</v>
      </c>
      <c r="F28" s="4" t="n">
        <f>46294.4563576006 + (VLOOKUP($B$1,TimeZones!$A$1:$C$28,2,FALSE))/24</f>
        <v>46294.58135760059</v>
      </c>
      <c r="G28" s="2" t="s">
        <v>0</v>
      </c>
    </row>
    <row collapsed="false" customFormat="true" customHeight="false" hidden="false" outlineLevel="0" r="29">
      <c r="A29" s="2" t="s">
        <v>45</v>
      </c>
      <c r="B29" s="2" t="s">
        <v>206</v>
      </c>
      <c r="C29" s="3" t="n">
        <v>12</v>
      </c>
      <c r="D29" s="3" t="n">
        <v>30</v>
      </c>
      <c r="E29" s="4" t="n">
        <f>46294.4561173805 + (VLOOKUP($B$1,TimeZones!$A$1:$C$28,2,FALSE))/24</f>
        <v>46294.581117380534</v>
      </c>
      <c r="F29" s="4" t="n">
        <f>46294.4582093173 + (VLOOKUP($B$1,TimeZones!$A$1:$C$28,2,FALSE))/24</f>
        <v>46294.58320931728</v>
      </c>
      <c r="G29" s="2" t="s">
        <v>0</v>
      </c>
    </row>
    <row collapsed="false" customFormat="true" customHeight="false" hidden="false" outlineLevel="0" r="30">
      <c r="A30" s="2" t="s">
        <v>36</v>
      </c>
      <c r="B30" s="2" t="s">
        <v>219</v>
      </c>
      <c r="C30" s="3" t="n">
        <v>12</v>
      </c>
      <c r="D30" s="3" t="n">
        <v>30</v>
      </c>
      <c r="E30" s="4" t="n">
        <f>46294.4316758492 + (VLOOKUP($B$1,TimeZones!$A$1:$C$28,2,FALSE))/24</f>
        <v>46294.55667584923</v>
      </c>
      <c r="F30" s="4" t="n">
        <f>46294.4346359956 + (VLOOKUP($B$1,TimeZones!$A$1:$C$28,2,FALSE))/24</f>
        <v>46294.5596359956</v>
      </c>
      <c r="G30" s="2" t="s">
        <v>0</v>
      </c>
    </row>
    <row collapsed="false" customFormat="true" customHeight="false" hidden="false" outlineLevel="0" r="31">
      <c r="A31" s="2" t="s">
        <v>33</v>
      </c>
      <c r="B31" s="2" t="s">
        <v>234</v>
      </c>
      <c r="C31" s="3" t="n">
        <v>12</v>
      </c>
      <c r="D31" s="3" t="n">
        <v>30</v>
      </c>
      <c r="E31" s="4" t="n">
        <f>46294.4246741188 + (VLOOKUP($B$1,TimeZones!$A$1:$C$28,2,FALSE))/24</f>
        <v>46294.54967411884</v>
      </c>
      <c r="F31" s="4" t="n">
        <f>46294.4266328104 + (VLOOKUP($B$1,TimeZones!$A$1:$C$28,2,FALSE))/24</f>
        <v>46294.55163281045</v>
      </c>
      <c r="G31" s="2" t="s">
        <v>0</v>
      </c>
    </row>
    <row collapsed="false" customFormat="true" customHeight="false" hidden="false" outlineLevel="0" r="32">
      <c r="A32" s="2" t="s">
        <v>7</v>
      </c>
      <c r="B32" s="2" t="s">
        <v>237</v>
      </c>
      <c r="C32" s="3" t="n">
        <v>12</v>
      </c>
      <c r="D32" s="3" t="n">
        <v>30</v>
      </c>
      <c r="E32" s="4" t="n">
        <f>46294.4593229798 + (VLOOKUP($B$1,TimeZones!$A$1:$C$28,2,FALSE))/24</f>
        <v>46294.58432297981</v>
      </c>
      <c r="F32" s="4" t="n">
        <f>46294.4613395389 + (VLOOKUP($B$1,TimeZones!$A$1:$C$28,2,FALSE))/24</f>
        <v>46294.586339538946</v>
      </c>
      <c r="G32" s="2" t="s">
        <v>0</v>
      </c>
    </row>
    <row collapsed="false" customFormat="true" customHeight="false" hidden="false" outlineLevel="0" r="33">
      <c r="A33" s="2" t="s">
        <v>44</v>
      </c>
      <c r="B33" s="2" t="s">
        <v>238</v>
      </c>
      <c r="C33" s="3" t="n">
        <v>12</v>
      </c>
      <c r="D33" s="3" t="n">
        <v>30</v>
      </c>
      <c r="E33" s="4" t="n">
        <f>46294.4273936998 + (VLOOKUP($B$1,TimeZones!$A$1:$C$28,2,FALSE))/24</f>
        <v>46294.55239369985</v>
      </c>
      <c r="F33" s="4" t="n">
        <f>46294.4312854059 + (VLOOKUP($B$1,TimeZones!$A$1:$C$28,2,FALSE))/24</f>
        <v>46294.55628540586</v>
      </c>
      <c r="G33" s="2" t="s">
        <v>0</v>
      </c>
    </row>
    <row collapsed="false" customFormat="true" customHeight="false" hidden="false" outlineLevel="0" r="34">
      <c r="A34" s="2" t="s">
        <v>38</v>
      </c>
      <c r="B34" s="2" t="s">
        <v>260</v>
      </c>
      <c r="C34" s="3" t="n">
        <v>12</v>
      </c>
      <c r="D34" s="3" t="n">
        <v>30</v>
      </c>
      <c r="E34" s="4" t="n">
        <f>46294.4259367945 + (VLOOKUP($B$1,TimeZones!$A$1:$C$28,2,FALSE))/24</f>
        <v>46294.550936794476</v>
      </c>
      <c r="F34" s="4" t="n">
        <f>46294.4302571960 + (VLOOKUP($B$1,TimeZones!$A$1:$C$28,2,FALSE))/24</f>
        <v>46294.55525719601</v>
      </c>
      <c r="G34" s="2" t="s">
        <v>0</v>
      </c>
    </row>
    <row collapsed="false" customFormat="true" customHeight="false" hidden="false" outlineLevel="0" r="35">
      <c r="A35" s="2" t="s">
        <v>27</v>
      </c>
      <c r="B35" s="2" t="s">
        <v>262</v>
      </c>
      <c r="C35" s="3" t="n">
        <v>12</v>
      </c>
      <c r="D35" s="3" t="n">
        <v>30</v>
      </c>
      <c r="E35" s="4" t="n">
        <f>46294.4360970297 + (VLOOKUP($B$1,TimeZones!$A$1:$C$28,2,FALSE))/24</f>
        <v>46294.56109702974</v>
      </c>
      <c r="F35" s="4" t="n">
        <f>46294.4384654941 + (VLOOKUP($B$1,TimeZones!$A$1:$C$28,2,FALSE))/24</f>
        <v>46294.56346549411</v>
      </c>
      <c r="G35" s="2" t="s">
        <v>0</v>
      </c>
    </row>
    <row collapsed="false" customFormat="true" customHeight="false" hidden="false" outlineLevel="0" r="36">
      <c r="A36" s="2" t="s">
        <v>30</v>
      </c>
      <c r="B36" s="2" t="s">
        <v>264</v>
      </c>
      <c r="C36" s="3" t="n">
        <v>12</v>
      </c>
      <c r="D36" s="3" t="n">
        <v>30</v>
      </c>
      <c r="E36" s="4" t="n">
        <f>46294.4386620385 + (VLOOKUP($B$1,TimeZones!$A$1:$C$28,2,FALSE))/24</f>
        <v>46294.563662038505</v>
      </c>
      <c r="F36" s="4" t="n">
        <f>46294.4419063664 + (VLOOKUP($B$1,TimeZones!$A$1:$C$28,2,FALSE))/24</f>
        <v>46294.5669063664</v>
      </c>
      <c r="G36" s="2" t="s">
        <v>0</v>
      </c>
    </row>
    <row collapsed="false" customFormat="true" customHeight="false" hidden="false" outlineLevel="0" r="37">
      <c r="A37" s="2" t="s">
        <v>13</v>
      </c>
      <c r="B37" s="2" t="s">
        <v>269</v>
      </c>
      <c r="C37" s="3" t="n">
        <v>12</v>
      </c>
      <c r="D37" s="3" t="n">
        <v>30</v>
      </c>
      <c r="E37" s="4" t="n">
        <f>46294.4391857377 + (VLOOKUP($B$1,TimeZones!$A$1:$C$28,2,FALSE))/24</f>
        <v>46294.564185737654</v>
      </c>
      <c r="F37" s="4" t="n">
        <f>46294.4410112956 + (VLOOKUP($B$1,TimeZones!$A$1:$C$28,2,FALSE))/24</f>
        <v>46294.56601129555</v>
      </c>
      <c r="G37" s="2" t="s">
        <v>0</v>
      </c>
    </row>
    <row collapsed="false" customFormat="true" customHeight="false" hidden="false" outlineLevel="0" r="38">
      <c r="A38" s="2" t="s">
        <v>3</v>
      </c>
      <c r="B38" s="2" t="s">
        <v>279</v>
      </c>
      <c r="C38" s="3" t="n">
        <v>12</v>
      </c>
      <c r="D38" s="3" t="n">
        <v>30</v>
      </c>
      <c r="E38" s="4" t="n">
        <f>46294.4480157206 + (VLOOKUP($B$1,TimeZones!$A$1:$C$28,2,FALSE))/24</f>
        <v>46294.57301572061</v>
      </c>
      <c r="F38" s="4" t="n">
        <f>46294.4502848507 + (VLOOKUP($B$1,TimeZones!$A$1:$C$28,2,FALSE))/24</f>
        <v>46294.5752848507</v>
      </c>
      <c r="G38" s="2" t="s">
        <v>0</v>
      </c>
    </row>
    <row collapsed="false" customFormat="true" customHeight="false" hidden="false" outlineLevel="0" r="39">
      <c r="A39" s="2" t="s">
        <v>21</v>
      </c>
      <c r="B39" s="2" t="s">
        <v>280</v>
      </c>
      <c r="C39" s="3" t="n">
        <v>12</v>
      </c>
      <c r="D39" s="3" t="n">
        <v>30</v>
      </c>
      <c r="E39" s="4" t="n">
        <f>46294.4514950612 + (VLOOKUP($B$1,TimeZones!$A$1:$C$28,2,FALSE))/24</f>
        <v>46294.57649506123</v>
      </c>
      <c r="F39" s="4" t="n">
        <f>46294.4540935418 + (VLOOKUP($B$1,TimeZones!$A$1:$C$28,2,FALSE))/24</f>
        <v>46294.57909354178</v>
      </c>
      <c r="G39" s="2" t="s">
        <v>0</v>
      </c>
    </row>
    <row collapsed="false" customFormat="true" customHeight="false" hidden="false" outlineLevel="0" r="40">
      <c r="A40" s="2" t="s">
        <v>25</v>
      </c>
      <c r="B40" s="2" t="s">
        <v>141</v>
      </c>
      <c r="C40" s="3" t="n">
        <v>11</v>
      </c>
      <c r="D40" s="3" t="n">
        <v>30</v>
      </c>
      <c r="E40" s="4" t="n">
        <f>46294.3613334064 + (VLOOKUP($B$1,TimeZones!$A$1:$C$28,2,FALSE))/24</f>
        <v>46294.48633340639</v>
      </c>
      <c r="F40" s="4" t="n">
        <f>46294.3969928309 + (VLOOKUP($B$1,TimeZones!$A$1:$C$28,2,FALSE))/24</f>
        <v>46294.5219928309</v>
      </c>
      <c r="G40" s="2" t="s">
        <v>0</v>
      </c>
    </row>
    <row collapsed="false" customFormat="true" customHeight="false" hidden="false" outlineLevel="0" r="41">
      <c r="A41" s="2" t="s">
        <v>23</v>
      </c>
      <c r="B41" s="2" t="s">
        <v>285</v>
      </c>
      <c r="C41" s="3" t="n">
        <v>11</v>
      </c>
      <c r="D41" s="3" t="n">
        <v>30</v>
      </c>
      <c r="E41" s="4" t="n">
        <f>46294.4308909226 + (VLOOKUP($B$1,TimeZones!$A$1:$C$28,2,FALSE))/24</f>
        <v>46294.55589092257</v>
      </c>
      <c r="F41" s="4" t="n">
        <f>46294.4347133139 + (VLOOKUP($B$1,TimeZones!$A$1:$C$28,2,FALSE))/24</f>
        <v>46294.55971331389</v>
      </c>
      <c r="G41" s="2" t="s">
        <v>0</v>
      </c>
    </row>
    <row collapsed="false" customFormat="true" customHeight="false" hidden="false" outlineLevel="0" r="42">
      <c r="A42" s="2" t="s">
        <v>17</v>
      </c>
      <c r="B42" s="2" t="s">
        <v>228</v>
      </c>
      <c r="C42" s="3" t="n">
        <v>9</v>
      </c>
      <c r="D42" s="3" t="n">
        <v>30</v>
      </c>
      <c r="E42" s="4" t="n">
        <f>46294.4218246688 + (VLOOKUP($B$1,TimeZones!$A$1:$C$28,2,FALSE))/24</f>
        <v>46294.54682466881</v>
      </c>
      <c r="F42" s="4" t="n">
        <f>46294.4240487181 + (VLOOKUP($B$1,TimeZones!$A$1:$C$28,2,FALSE))/24</f>
        <v>46294.54904871809</v>
      </c>
      <c r="G42" s="2" t="s">
        <v>0</v>
      </c>
    </row>
    <row collapsed="false" customFormat="true" customHeight="false" hidden="false" outlineLevel="0" r="43">
      <c r="A43" s="2" t="s">
        <v>9</v>
      </c>
      <c r="B43" s="2" t="s">
        <v>258</v>
      </c>
      <c r="C43" s="3" t="n">
        <v>9</v>
      </c>
      <c r="D43" s="3" t="n">
        <v>30</v>
      </c>
      <c r="E43" s="4" t="n">
        <f>46294.4325243560 + (VLOOKUP($B$1,TimeZones!$A$1:$C$28,2,FALSE))/24</f>
        <v>46294.55752435599</v>
      </c>
      <c r="F43" s="4" t="n">
        <f>46294.4348685920 + (VLOOKUP($B$1,TimeZones!$A$1:$C$28,2,FALSE))/24</f>
        <v>46294.559868591976</v>
      </c>
      <c r="G43" s="2" t="s">
        <v>0</v>
      </c>
    </row>
    <row collapsed="false" customFormat="true" customHeight="false" hidden="false" outlineLevel="0" r="44">
      <c r="A44" s="2" t="s">
        <v>2</v>
      </c>
      <c r="B44" s="2" t="s">
        <v>172</v>
      </c>
      <c r="C44" s="3" t="n">
        <v>7</v>
      </c>
      <c r="D44" s="3" t="n">
        <v>30</v>
      </c>
      <c r="E44" s="4" t="n">
        <f>46294.4090784429 + (VLOOKUP($B$1,TimeZones!$A$1:$C$28,2,FALSE))/24</f>
        <v>46294.53407844289</v>
      </c>
      <c r="F44" s="4" t="n">
        <f>46294.4141483709 + (VLOOKUP($B$1,TimeZones!$A$1:$C$28,2,FALSE))/24</f>
        <v>46294.53914837086</v>
      </c>
      <c r="G44" s="2" t="s">
        <v>0</v>
      </c>
    </row>
    <row collapsed="false" customFormat="true" customHeight="false" hidden="false" outlineLevel="0" r="45">
      <c r="A45" s="2" t="s">
        <v>41</v>
      </c>
      <c r="B45" s="2" t="s">
        <v>134</v>
      </c>
      <c r="C45" s="3" t="n">
        <v>6</v>
      </c>
      <c r="D45" s="3" t="n">
        <v>30</v>
      </c>
      <c r="E45" s="4" t="n">
        <f>46294.4103953668 + (VLOOKUP($B$1,TimeZones!$A$1:$C$28,2,FALSE))/24</f>
        <v>46294.53539536678</v>
      </c>
      <c r="F45" s="4" t="n">
        <f>46294.4170520555 + (VLOOKUP($B$1,TimeZones!$A$1:$C$28,2,FALSE))/24</f>
        <v>46294.5420520555</v>
      </c>
      <c r="G45" s="2" t="s">
        <v>0</v>
      </c>
    </row>
    <row collapsed="false" customFormat="true" customHeight="false" hidden="false" outlineLevel="0" r="46">
      <c r="A46" s="2" t="s">
        <v>8</v>
      </c>
      <c r="B46" s="2" t="s">
        <v>184</v>
      </c>
      <c r="C46" s="3" t="n">
        <v>6</v>
      </c>
      <c r="D46" s="3" t="n">
        <v>30</v>
      </c>
      <c r="E46" s="4" t="n">
        <f>46294.3596560211 + (VLOOKUP($B$1,TimeZones!$A$1:$C$28,2,FALSE))/24</f>
        <v>46294.484656021144</v>
      </c>
      <c r="F46" s="4" t="n">
        <f>46294.3872466686 + (VLOOKUP($B$1,TimeZones!$A$1:$C$28,2,FALSE))/24</f>
        <v>46294.512246668644</v>
      </c>
      <c r="G46" s="2" t="s">
        <v>0</v>
      </c>
    </row>
    <row collapsed="false" customFormat="true" customHeight="false" hidden="false" outlineLevel="0" r="47">
      <c r="A47" s="2" t="s">
        <v>47</v>
      </c>
      <c r="B47" s="2" t="s">
        <v>248</v>
      </c>
      <c r="C47" s="3" t="n">
        <v>5</v>
      </c>
      <c r="D47" s="3" t="n">
        <v>30</v>
      </c>
      <c r="E47" s="4" t="n">
        <f>46294.3553634256 + (VLOOKUP($B$1,TimeZones!$A$1:$C$28,2,FALSE))/24</f>
        <v>46294.48036342562</v>
      </c>
      <c r="F47" s="4" t="n">
        <f>46294.3853276616 + (VLOOKUP($B$1,TimeZones!$A$1:$C$28,2,FALSE))/24</f>
        <v>46294.510327661585</v>
      </c>
      <c r="G47" s="2" t="s">
        <v>0</v>
      </c>
    </row>
    <row collapsed="false" customFormat="true" customHeight="false" hidden="false" outlineLevel="0" r="48">
      <c r="A48" s="2" t="s">
        <v>18</v>
      </c>
      <c r="B48" s="2" t="s">
        <v>166</v>
      </c>
      <c r="C48" s="3" t="n">
        <v>4</v>
      </c>
      <c r="D48" s="3" t="n">
        <v>30</v>
      </c>
      <c r="E48" s="4" t="n">
        <f>46294.4392423877 + (VLOOKUP($B$1,TimeZones!$A$1:$C$28,2,FALSE))/24</f>
        <v>46294.564242387685</v>
      </c>
      <c r="F48" s="4" t="n">
        <f>46294.4432957548 + (VLOOKUP($B$1,TimeZones!$A$1:$C$28,2,FALSE))/24</f>
        <v>46294.56829575477</v>
      </c>
      <c r="G48" s="2" t="s">
        <v>0</v>
      </c>
    </row>
    <row collapsed="false" customFormat="true" customHeight="false" hidden="false" outlineLevel="0" r="49">
      <c r="A49" s="2" t="s">
        <v>10</v>
      </c>
      <c r="B49" s="2" t="s">
        <v>191</v>
      </c>
      <c r="C49" s="3" t="n">
        <v>3</v>
      </c>
      <c r="D49" s="3" t="n">
        <v>30</v>
      </c>
      <c r="E49" s="4" t="n">
        <f>46294.3608588333 + (VLOOKUP($B$1,TimeZones!$A$1:$C$28,2,FALSE))/24</f>
        <v>46294.48585883333</v>
      </c>
      <c r="F49" s="4" t="n">
        <f>46294.3874596681 + (VLOOKUP($B$1,TimeZones!$A$1:$C$28,2,FALSE))/24</f>
        <v>46294.51245966811</v>
      </c>
      <c r="G49" s="2" t="s">
        <v>0</v>
      </c>
    </row>
    <row collapsed="false" customFormat="true" customHeight="false" hidden="false" outlineLevel="0" r="50">
      <c r="A50" s="2" t="s">
        <v>34</v>
      </c>
      <c r="B50" s="2" t="s">
        <v>278</v>
      </c>
      <c r="C50" s="3" t="n">
        <v>2</v>
      </c>
      <c r="D50" s="3" t="n">
        <v>30</v>
      </c>
      <c r="E50" s="4" t="n">
        <f>46294.4444647859 + (VLOOKUP($B$1,TimeZones!$A$1:$C$28,2,FALSE))/24</f>
        <v>46294.569464785935</v>
      </c>
      <c r="F50" s="4" t="n">
        <f>46294.4466134740 + (VLOOKUP($B$1,TimeZones!$A$1:$C$28,2,FALSE))/24</f>
        <v>46294.57161347403</v>
      </c>
      <c r="G50" s="2" t="s">
        <v>0</v>
      </c>
    </row>
    <row collapsed="false" customFormat="true" customHeight="false" hidden="false" outlineLevel="0" r="51">
      <c r="A51" s="2" t="s">
        <v>32</v>
      </c>
      <c r="B51" s="2" t="s">
        <v>209</v>
      </c>
      <c r="C51" s="3" t="n">
        <v>0</v>
      </c>
      <c r="D51" s="3" t="n">
        <v>30</v>
      </c>
      <c r="E51" s="4" t="n">
        <f>46294.4591340662 + (VLOOKUP($B$1,TimeZones!$A$1:$C$28,2,FALSE))/24</f>
        <v>46294.584134066194</v>
      </c>
      <c r="F51" s="4" t="n">
        <f>46294.4600586041 + (VLOOKUP($B$1,TimeZones!$A$1:$C$28,2,FALSE))/24</f>
        <v>46294.58505860411</v>
      </c>
      <c r="G51" s="2" t="s">
        <v>0</v>
      </c>
    </row>
  </sheetData>
  <dataValidations>
    <dataValidation allowBlank="0" errorStyle="stop" showDropDown="0" showErrorMessage="1" showInputMessage="0" sqref="B1" type="list">
      <formula1>TimeZones!$A$1:$A$28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Data>
    <row collapsed="false" customFormat="true" customHeight="false" hidden="false" outlineLevel="0" r="1">
      <c r="A1" s="5" t="s">
        <v>254</v>
      </c>
    </row>
  </sheetData>
  <dataValidations>
    <dataValidation allowBlank="0" errorStyle="stop" showDropDown="0" showErrorMessage="1" showInputMessage="0" sqref="B1" type="list">
      <formula1>TimeZones!$A$1:$A$28</formula1>
    </dataValidation>
  </dataValidations>
</worksheet>
</file>

<file path=xl/worksheets/sheet3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23.2"/>
    <col customWidth="1" max="5" min="5" width="46.4"/>
    <col customWidth="1" max="6" min="6" width="46.4"/>
    <col customWidth="1" max="7" min="7" width="23.2"/>
    <col customWidth="1" max="8" min="8" width="46.4"/>
  </cols>
  <sheetData>
    <row collapsed="false" customFormat="true" customHeight="false" hidden="false" outlineLevel="0" r="1">
      <c r="A1" s="1" t="s">
        <v>281</v>
      </c>
      <c r="B1" s="2" t="s">
        <v>214</v>
      </c>
    </row>
    <row collapsed="false" customFormat="true" customHeight="false" hidden="false" outlineLevel="0" r="3">
      <c r="A3" s="1" t="s">
        <v>176</v>
      </c>
      <c r="B3" s="1" t="s">
        <v>275</v>
      </c>
      <c r="C3" s="1" t="s">
        <v>216</v>
      </c>
      <c r="D3" s="1" t="s">
        <v>199</v>
      </c>
      <c r="E3" s="1" t="str">
        <f>"Время начала сессии (" &amp; VLOOKUP($B$1,TimeZones!$A$1:$C$28,3,FALSE) &amp; ")"</f>
        <v>Время начала сессии (Москва)</v>
      </c>
      <c r="F3" s="1" t="str">
        <f>"Время конца сессии (" &amp; VLOOKUP($B$1,TimeZones!$A$1:$C$28,3,FALSE) &amp; ")"</f>
        <v>Время конца сессии (Москва)</v>
      </c>
      <c r="G3" s="1" t="s">
        <v>257</v>
      </c>
      <c r="H3" s="1" t="s">
        <v>149</v>
      </c>
    </row>
    <row collapsed="false" customFormat="true" customHeight="false" hidden="false" outlineLevel="0" r="4">
      <c r="A4" s="2" t="s">
        <v>53</v>
      </c>
      <c r="B4" s="2" t="s">
        <v>163</v>
      </c>
      <c r="C4" s="3" t="n">
        <v>22.5</v>
      </c>
      <c r="D4" s="3" t="n">
        <v>30</v>
      </c>
      <c r="E4" s="4" t="n">
        <f>46294.3180519176 + (VLOOKUP($B$1,TimeZones!$A$1:$C$28,2,FALSE))/24</f>
        <v>46294.44305191757</v>
      </c>
      <c r="F4" s="4" t="n">
        <f>46294.3344826566 + (VLOOKUP($B$1,TimeZones!$A$1:$C$28,2,FALSE))/24</f>
        <v>46294.45948265663</v>
      </c>
      <c r="G4" s="2" t="s">
        <v>0</v>
      </c>
    </row>
    <row collapsed="false" customFormat="true" customHeight="false" hidden="false" outlineLevel="0" r="5">
      <c r="A5" s="2" t="s">
        <v>70</v>
      </c>
      <c r="B5" s="2" t="s">
        <v>161</v>
      </c>
      <c r="C5" s="3" t="n">
        <v>20.5</v>
      </c>
      <c r="D5" s="3" t="n">
        <v>30</v>
      </c>
      <c r="E5" s="4" t="n">
        <f>46294.3160058540 + (VLOOKUP($B$1,TimeZones!$A$1:$C$28,2,FALSE))/24</f>
        <v>46294.44100585403</v>
      </c>
      <c r="F5" s="4" t="n">
        <f>46294.3385868179 + (VLOOKUP($B$1,TimeZones!$A$1:$C$28,2,FALSE))/24</f>
        <v>46294.46358681794</v>
      </c>
      <c r="G5" s="2" t="s">
        <v>0</v>
      </c>
    </row>
    <row collapsed="false" customFormat="true" customHeight="false" hidden="false" outlineLevel="0" r="6">
      <c r="A6" s="2" t="s">
        <v>54</v>
      </c>
      <c r="B6" s="2" t="s">
        <v>289</v>
      </c>
      <c r="C6" s="3" t="n">
        <v>18</v>
      </c>
      <c r="D6" s="3" t="n">
        <v>30</v>
      </c>
      <c r="E6" s="4" t="n">
        <f>46294.3192123136 + (VLOOKUP($B$1,TimeZones!$A$1:$C$28,2,FALSE))/24</f>
        <v>46294.44421231361</v>
      </c>
      <c r="F6" s="4" t="n">
        <f>46294.3649403853 + (VLOOKUP($B$1,TimeZones!$A$1:$C$28,2,FALSE))/24</f>
        <v>46294.489940385276</v>
      </c>
      <c r="G6" s="2" t="s">
        <v>0</v>
      </c>
    </row>
    <row collapsed="false" customFormat="true" customHeight="false" hidden="false" outlineLevel="0" r="7">
      <c r="A7" s="2" t="s">
        <v>74</v>
      </c>
      <c r="B7" s="2" t="s">
        <v>183</v>
      </c>
      <c r="C7" s="3" t="n">
        <v>14</v>
      </c>
      <c r="D7" s="3" t="n">
        <v>30</v>
      </c>
      <c r="E7" s="4" t="n">
        <f>46294.3200574829 + (VLOOKUP($B$1,TimeZones!$A$1:$C$28,2,FALSE))/24</f>
        <v>46294.445057482895</v>
      </c>
      <c r="F7" s="4" t="n">
        <f>46294.3649273696 + (VLOOKUP($B$1,TimeZones!$A$1:$C$28,2,FALSE))/24</f>
        <v>46294.48992736963</v>
      </c>
      <c r="G7" s="2" t="s">
        <v>0</v>
      </c>
    </row>
    <row collapsed="false" customFormat="true" customHeight="false" hidden="false" outlineLevel="0" r="8">
      <c r="A8" s="2" t="s">
        <v>78</v>
      </c>
      <c r="B8" s="2" t="s">
        <v>179</v>
      </c>
      <c r="C8" s="3" t="n">
        <v>9</v>
      </c>
      <c r="D8" s="3" t="n">
        <v>30</v>
      </c>
      <c r="E8" s="4" t="n">
        <f>46294.3183503263 + (VLOOKUP($B$1,TimeZones!$A$1:$C$28,2,FALSE))/24</f>
        <v>46294.44335032634</v>
      </c>
      <c r="F8" s="4" t="n">
        <f>46294.3364570110 + (VLOOKUP($B$1,TimeZones!$A$1:$C$28,2,FALSE))/24</f>
        <v>46294.461457011006</v>
      </c>
      <c r="G8" s="2" t="s">
        <v>0</v>
      </c>
    </row>
    <row collapsed="false" customFormat="true" customHeight="false" hidden="false" outlineLevel="0" r="9">
      <c r="A9" s="2" t="s">
        <v>68</v>
      </c>
      <c r="B9" s="2" t="s">
        <v>128</v>
      </c>
      <c r="C9" s="3" t="n">
        <v>7</v>
      </c>
      <c r="D9" s="3" t="n">
        <v>30</v>
      </c>
      <c r="E9" s="4" t="n">
        <f>46294.2891865567 + (VLOOKUP($B$1,TimeZones!$A$1:$C$28,2,FALSE))/24</f>
        <v>46294.41418655668</v>
      </c>
      <c r="F9" s="4" t="n">
        <f>46294.2942595346 + (VLOOKUP($B$1,TimeZones!$A$1:$C$28,2,FALSE))/24</f>
        <v>46294.4192595346</v>
      </c>
      <c r="G9" s="2" t="s">
        <v>0</v>
      </c>
    </row>
    <row collapsed="false" customFormat="true" customHeight="false" hidden="false" outlineLevel="0" r="10">
      <c r="A10" s="2" t="s">
        <v>64</v>
      </c>
      <c r="B10" s="2" t="s">
        <v>192</v>
      </c>
      <c r="C10" s="3" t="n">
        <v>5.5</v>
      </c>
      <c r="D10" s="3" t="n">
        <v>30</v>
      </c>
      <c r="E10" s="4" t="n">
        <f>46294.3120940954 + (VLOOKUP($B$1,TimeZones!$A$1:$C$28,2,FALSE))/24</f>
        <v>46294.43709409542</v>
      </c>
      <c r="F10" s="4" t="n">
        <f>46294.3745940954 + (VLOOKUP($B$1,TimeZones!$A$1:$C$28,2,FALSE))/24</f>
        <v>46294.49959409542</v>
      </c>
      <c r="G10" s="2" t="s">
        <v>0</v>
      </c>
    </row>
    <row collapsed="false" customFormat="true" customHeight="false" hidden="false" outlineLevel="0" r="11">
      <c r="A11" s="2" t="s">
        <v>77</v>
      </c>
      <c r="B11" s="2" t="s">
        <v>144</v>
      </c>
      <c r="C11" s="3" t="n">
        <v>4</v>
      </c>
      <c r="D11" s="3" t="n">
        <v>30</v>
      </c>
      <c r="E11" s="4" t="n">
        <f>46294.3095978664 + (VLOOKUP($B$1,TimeZones!$A$1:$C$28,2,FALSE))/24</f>
        <v>46294.43459786639</v>
      </c>
      <c r="F11" s="4" t="n">
        <f>46294.3121159607 + (VLOOKUP($B$1,TimeZones!$A$1:$C$28,2,FALSE))/24</f>
        <v>46294.437115960674</v>
      </c>
      <c r="G11" s="2" t="s">
        <v>0</v>
      </c>
    </row>
    <row collapsed="false" customFormat="true" customHeight="false" hidden="false" outlineLevel="0" r="12">
      <c r="A12" s="2" t="s">
        <v>65</v>
      </c>
      <c r="B12" s="2" t="s">
        <v>240</v>
      </c>
      <c r="C12" s="3" t="n">
        <v>4</v>
      </c>
      <c r="D12" s="3" t="n">
        <v>30</v>
      </c>
      <c r="E12" s="4" t="n">
        <f>46294.3122881519 + (VLOOKUP($B$1,TimeZones!$A$1:$C$28,2,FALSE))/24</f>
        <v>46294.43728815192</v>
      </c>
      <c r="F12" s="4" t="n">
        <f>46294.3128756142 + (VLOOKUP($B$1,TimeZones!$A$1:$C$28,2,FALSE))/24</f>
        <v>46294.43787561425</v>
      </c>
      <c r="G12" s="2" t="s">
        <v>0</v>
      </c>
    </row>
    <row collapsed="false" customFormat="true" customHeight="false" hidden="false" outlineLevel="0" r="13">
      <c r="A13" s="2" t="s">
        <v>61</v>
      </c>
      <c r="B13" s="2" t="s">
        <v>120</v>
      </c>
      <c r="C13" s="3" t="n">
        <v>3.5</v>
      </c>
      <c r="D13" s="3" t="n">
        <v>30</v>
      </c>
      <c r="E13" s="4" t="n">
        <f>46294.2863803499 + (VLOOKUP($B$1,TimeZones!$A$1:$C$28,2,FALSE))/24</f>
        <v>46294.41138034993</v>
      </c>
      <c r="F13" s="4" t="n">
        <f>46294.2884366345 + (VLOOKUP($B$1,TimeZones!$A$1:$C$28,2,FALSE))/24</f>
        <v>46294.41343663448</v>
      </c>
      <c r="G13" s="2" t="s">
        <v>0</v>
      </c>
    </row>
    <row collapsed="false" customFormat="true" customHeight="false" hidden="false" outlineLevel="0" r="14">
      <c r="A14" s="2" t="s">
        <v>75</v>
      </c>
      <c r="B14" s="2" t="s">
        <v>158</v>
      </c>
      <c r="C14" s="3" t="n">
        <v>2.5</v>
      </c>
      <c r="D14" s="3" t="n">
        <v>30</v>
      </c>
      <c r="E14" s="4" t="n">
        <f>46294.3180616952 + (VLOOKUP($B$1,TimeZones!$A$1:$C$28,2,FALSE))/24</f>
        <v>46294.44306169521</v>
      </c>
      <c r="F14" s="4" t="n">
        <f>46294.3345617047 + (VLOOKUP($B$1,TimeZones!$A$1:$C$28,2,FALSE))/24</f>
        <v>46294.45956170473</v>
      </c>
      <c r="G14" s="2" t="s">
        <v>0</v>
      </c>
    </row>
    <row collapsed="false" customFormat="true" customHeight="false" hidden="false" outlineLevel="0" r="15">
      <c r="A15" s="2" t="s">
        <v>56</v>
      </c>
      <c r="B15" s="2" t="s">
        <v>148</v>
      </c>
      <c r="C15" s="3" t="n">
        <v>2</v>
      </c>
      <c r="D15" s="3" t="n">
        <v>30</v>
      </c>
      <c r="E15" s="4" t="n">
        <f>46294.3019864944 + (VLOOKUP($B$1,TimeZones!$A$1:$C$28,2,FALSE))/24</f>
        <v>46294.42698649442</v>
      </c>
      <c r="F15" s="4" t="n">
        <f>46294.3029259316 + (VLOOKUP($B$1,TimeZones!$A$1:$C$28,2,FALSE))/24</f>
        <v>46294.42792593161</v>
      </c>
      <c r="G15" s="2" t="s">
        <v>0</v>
      </c>
    </row>
    <row collapsed="false" customFormat="true" customHeight="false" hidden="false" outlineLevel="0" r="16">
      <c r="A16" s="2" t="s">
        <v>52</v>
      </c>
      <c r="B16" s="2" t="s">
        <v>160</v>
      </c>
      <c r="C16" s="3" t="n">
        <v>2</v>
      </c>
      <c r="D16" s="3" t="n">
        <v>30</v>
      </c>
      <c r="E16" s="4" t="n">
        <f>46294.3045578306 + (VLOOKUP($B$1,TimeZones!$A$1:$C$28,2,FALSE))/24</f>
        <v>46294.429557830634</v>
      </c>
      <c r="F16" s="4" t="n">
        <f>46294.3074631620 + (VLOOKUP($B$1,TimeZones!$A$1:$C$28,2,FALSE))/24</f>
        <v>46294.432463162004</v>
      </c>
      <c r="G16" s="2" t="s">
        <v>0</v>
      </c>
    </row>
    <row collapsed="false" customFormat="true" customHeight="false" hidden="false" outlineLevel="0" r="17">
      <c r="A17" s="2" t="s">
        <v>59</v>
      </c>
      <c r="B17" s="2" t="s">
        <v>191</v>
      </c>
      <c r="C17" s="3" t="n">
        <v>1.5</v>
      </c>
      <c r="D17" s="3" t="n">
        <v>30</v>
      </c>
      <c r="E17" s="4" t="n">
        <f>46294.3217542505 + (VLOOKUP($B$1,TimeZones!$A$1:$C$28,2,FALSE))/24</f>
        <v>46294.446754250464</v>
      </c>
      <c r="F17" s="4" t="n">
        <f>46294.3383229780 + (VLOOKUP($B$1,TimeZones!$A$1:$C$28,2,FALSE))/24</f>
        <v>46294.46332297803</v>
      </c>
      <c r="G17" s="2" t="s">
        <v>0</v>
      </c>
    </row>
    <row collapsed="false" customFormat="true" customHeight="false" hidden="false" outlineLevel="0" r="18">
      <c r="A18" s="2" t="s">
        <v>82</v>
      </c>
      <c r="B18" s="2" t="s">
        <v>150</v>
      </c>
      <c r="C18" s="3" t="n">
        <v>1</v>
      </c>
      <c r="D18" s="3" t="n">
        <v>30</v>
      </c>
      <c r="E18" s="4" t="n">
        <f>46294.2865849450 + (VLOOKUP($B$1,TimeZones!$A$1:$C$28,2,FALSE))/24</f>
        <v>46294.411584944966</v>
      </c>
      <c r="F18" s="4" t="n">
        <f>46294.2888860054 + (VLOOKUP($B$1,TimeZones!$A$1:$C$28,2,FALSE))/24</f>
        <v>46294.41388600537</v>
      </c>
      <c r="G18" s="2" t="s">
        <v>0</v>
      </c>
    </row>
    <row collapsed="false" customFormat="true" customHeight="false" hidden="false" outlineLevel="0" r="19">
      <c r="A19" s="2" t="s">
        <v>76</v>
      </c>
      <c r="B19" s="2" t="s">
        <v>162</v>
      </c>
      <c r="C19" s="3" t="n">
        <v>1</v>
      </c>
      <c r="D19" s="3" t="n">
        <v>30</v>
      </c>
      <c r="E19" s="4" t="n">
        <f>46294.3045086759 + (VLOOKUP($B$1,TimeZones!$A$1:$C$28,2,FALSE))/24</f>
        <v>46294.42950867594</v>
      </c>
      <c r="F19" s="4" t="n">
        <f>46294.3050446671 + (VLOOKUP($B$1,TimeZones!$A$1:$C$28,2,FALSE))/24</f>
        <v>46294.43004466712</v>
      </c>
      <c r="G19" s="2" t="s">
        <v>0</v>
      </c>
    </row>
    <row collapsed="false" customFormat="true" customHeight="false" hidden="false" outlineLevel="0" r="20">
      <c r="A20" s="2" t="s">
        <v>55</v>
      </c>
      <c r="B20" s="2" t="s">
        <v>200</v>
      </c>
      <c r="C20" s="3" t="n">
        <v>1</v>
      </c>
      <c r="D20" s="3" t="n">
        <v>30</v>
      </c>
      <c r="E20" s="4" t="n">
        <f>46294.2867236581 + (VLOOKUP($B$1,TimeZones!$A$1:$C$28,2,FALSE))/24</f>
        <v>46294.41172365814</v>
      </c>
      <c r="F20" s="4" t="n">
        <f>46294.2876779303 + (VLOOKUP($B$1,TimeZones!$A$1:$C$28,2,FALSE))/24</f>
        <v>46294.41267793031</v>
      </c>
      <c r="G20" s="2" t="s">
        <v>0</v>
      </c>
    </row>
    <row collapsed="false" customFormat="true" customHeight="false" hidden="false" outlineLevel="0" r="21">
      <c r="A21" s="2" t="s">
        <v>50</v>
      </c>
      <c r="B21" s="2" t="s">
        <v>226</v>
      </c>
      <c r="C21" s="3" t="n">
        <v>1</v>
      </c>
      <c r="D21" s="3" t="n">
        <v>30</v>
      </c>
      <c r="E21" s="4" t="n">
        <f>46294.3235394466 + (VLOOKUP($B$1,TimeZones!$A$1:$C$28,2,FALSE))/24</f>
        <v>46294.44853944665</v>
      </c>
      <c r="F21" s="4" t="n">
        <f>46294.3243996713 + (VLOOKUP($B$1,TimeZones!$A$1:$C$28,2,FALSE))/24</f>
        <v>46294.44939967134</v>
      </c>
      <c r="G21" s="2" t="s">
        <v>0</v>
      </c>
    </row>
    <row collapsed="false" customFormat="true" customHeight="false" hidden="false" outlineLevel="0" r="22">
      <c r="A22" s="2" t="s">
        <v>86</v>
      </c>
      <c r="B22" s="2" t="s">
        <v>235</v>
      </c>
      <c r="C22" s="3" t="n">
        <v>1</v>
      </c>
      <c r="D22" s="3" t="n">
        <v>30</v>
      </c>
      <c r="E22" s="4" t="n">
        <f>46294.3091784013 + (VLOOKUP($B$1,TimeZones!$A$1:$C$28,2,FALSE))/24</f>
        <v>46294.43417840129</v>
      </c>
      <c r="F22" s="4" t="n">
        <f>46294.3098673726 + (VLOOKUP($B$1,TimeZones!$A$1:$C$28,2,FALSE))/24</f>
        <v>46294.43486737261</v>
      </c>
      <c r="G22" s="2" t="s">
        <v>0</v>
      </c>
    </row>
    <row collapsed="false" customFormat="true" customHeight="false" hidden="false" outlineLevel="0" r="23">
      <c r="A23" s="2" t="s">
        <v>51</v>
      </c>
      <c r="B23" s="2" t="s">
        <v>236</v>
      </c>
      <c r="C23" s="3" t="n">
        <v>1</v>
      </c>
      <c r="D23" s="3" t="n">
        <v>30</v>
      </c>
      <c r="E23" s="4" t="n">
        <f>46294.3108644381 + (VLOOKUP($B$1,TimeZones!$A$1:$C$28,2,FALSE))/24</f>
        <v>46294.435864438055</v>
      </c>
      <c r="F23" s="4" t="n">
        <f>46294.3116200481 + (VLOOKUP($B$1,TimeZones!$A$1:$C$28,2,FALSE))/24</f>
        <v>46294.4366200481</v>
      </c>
      <c r="G23" s="2" t="s">
        <v>0</v>
      </c>
    </row>
    <row collapsed="false" customFormat="true" customHeight="false" hidden="false" outlineLevel="0" r="24">
      <c r="A24" s="2" t="s">
        <v>57</v>
      </c>
      <c r="B24" s="2" t="s">
        <v>233</v>
      </c>
      <c r="C24" s="3" t="n">
        <v>0.5</v>
      </c>
      <c r="D24" s="3" t="n">
        <v>30</v>
      </c>
      <c r="E24" s="4" t="n">
        <f>46294.2972685025 + (VLOOKUP($B$1,TimeZones!$A$1:$C$28,2,FALSE))/24</f>
        <v>46294.4222685025</v>
      </c>
      <c r="F24" s="4" t="n">
        <f>46294.2979855656 + (VLOOKUP($B$1,TimeZones!$A$1:$C$28,2,FALSE))/24</f>
        <v>46294.42298556558</v>
      </c>
      <c r="G24" s="2" t="s">
        <v>0</v>
      </c>
    </row>
    <row collapsed="false" customFormat="true" customHeight="false" hidden="false" outlineLevel="0" r="25">
      <c r="A25" s="2" t="s">
        <v>79</v>
      </c>
      <c r="B25" s="2" t="s">
        <v>131</v>
      </c>
      <c r="C25" s="3" t="n">
        <v>0</v>
      </c>
      <c r="D25" s="3" t="n">
        <v>30</v>
      </c>
      <c r="E25" s="4" t="n">
        <f>46294.3067422623 + (VLOOKUP($B$1,TimeZones!$A$1:$C$28,2,FALSE))/24</f>
        <v>46294.43174226228</v>
      </c>
      <c r="F25" s="4" t="n">
        <f>46294.3070027570 + (VLOOKUP($B$1,TimeZones!$A$1:$C$28,2,FALSE))/24</f>
        <v>46294.432002757014</v>
      </c>
      <c r="G25" s="2" t="s">
        <v>0</v>
      </c>
    </row>
    <row collapsed="false" customFormat="true" customHeight="false" hidden="false" outlineLevel="0" r="26">
      <c r="A26" s="2" t="s">
        <v>60</v>
      </c>
      <c r="B26" s="2" t="s">
        <v>133</v>
      </c>
      <c r="C26" s="3" t="n">
        <v>0</v>
      </c>
      <c r="D26" s="3" t="n">
        <v>30</v>
      </c>
      <c r="E26" s="4" t="n">
        <f>46294.3068450829 + (VLOOKUP($B$1,TimeZones!$A$1:$C$28,2,FALSE))/24</f>
        <v>46294.43184508287</v>
      </c>
      <c r="F26" s="4" t="n">
        <f>46294.3079537054 + (VLOOKUP($B$1,TimeZones!$A$1:$C$28,2,FALSE))/24</f>
        <v>46294.43295370543</v>
      </c>
      <c r="G26" s="2" t="s">
        <v>0</v>
      </c>
    </row>
    <row collapsed="false" customFormat="true" customHeight="false" hidden="false" outlineLevel="0" r="27">
      <c r="A27" s="2" t="s">
        <v>63</v>
      </c>
      <c r="B27" s="2" t="s">
        <v>152</v>
      </c>
      <c r="C27" s="3" t="n">
        <v>0</v>
      </c>
      <c r="D27" s="3" t="n">
        <v>30</v>
      </c>
      <c r="E27" s="4" t="n">
        <f>46294.2906851722 + (VLOOKUP($B$1,TimeZones!$A$1:$C$28,2,FALSE))/24</f>
        <v>46294.41568517218</v>
      </c>
      <c r="F27" s="4" t="n">
        <f>46294.2957251107 + (VLOOKUP($B$1,TimeZones!$A$1:$C$28,2,FALSE))/24</f>
        <v>46294.42072511067</v>
      </c>
      <c r="G27" s="2" t="s">
        <v>0</v>
      </c>
    </row>
    <row collapsed="false" customFormat="true" customHeight="false" hidden="false" outlineLevel="0" r="28">
      <c r="A28" s="2" t="s">
        <v>49</v>
      </c>
      <c r="B28" s="2" t="s">
        <v>169</v>
      </c>
      <c r="C28" s="3" t="n">
        <v>0</v>
      </c>
      <c r="D28" s="3" t="n">
        <v>30</v>
      </c>
      <c r="E28" s="4" t="n">
        <f>46294.3128187863 + (VLOOKUP($B$1,TimeZones!$A$1:$C$28,2,FALSE))/24</f>
        <v>46294.4378187863</v>
      </c>
      <c r="F28" s="4" t="n">
        <f>46294.3753187863 + (VLOOKUP($B$1,TimeZones!$A$1:$C$28,2,FALSE))/24</f>
        <v>46294.5003187863</v>
      </c>
      <c r="G28" s="2" t="s">
        <v>0</v>
      </c>
    </row>
    <row collapsed="false" customFormat="true" customHeight="false" hidden="false" outlineLevel="0" r="29">
      <c r="A29" s="2" t="s">
        <v>69</v>
      </c>
      <c r="B29" s="2" t="s">
        <v>184</v>
      </c>
      <c r="C29" s="3" t="n">
        <v>0</v>
      </c>
      <c r="D29" s="3" t="n">
        <v>30</v>
      </c>
      <c r="E29" s="4" t="n">
        <f>46294.3228622702 + (VLOOKUP($B$1,TimeZones!$A$1:$C$28,2,FALSE))/24</f>
        <v>46294.44786227017</v>
      </c>
      <c r="F29" s="4" t="n">
        <f>46294.3387280078 + (VLOOKUP($B$1,TimeZones!$A$1:$C$28,2,FALSE))/24</f>
        <v>46294.463728007824</v>
      </c>
      <c r="G29" s="2" t="s">
        <v>0</v>
      </c>
    </row>
    <row collapsed="false" customFormat="true" customHeight="false" hidden="false" outlineLevel="0" r="30">
      <c r="A30" s="2" t="s">
        <v>72</v>
      </c>
      <c r="B30" s="2" t="s">
        <v>189</v>
      </c>
      <c r="C30" s="3" t="n">
        <v>0</v>
      </c>
      <c r="D30" s="3" t="n">
        <v>30</v>
      </c>
      <c r="E30" s="4" t="n">
        <f>46294.2940673339 + (VLOOKUP($B$1,TimeZones!$A$1:$C$28,2,FALSE))/24</f>
        <v>46294.4190673339</v>
      </c>
      <c r="F30" s="4" t="n">
        <f>46294.2943878213 + (VLOOKUP($B$1,TimeZones!$A$1:$C$28,2,FALSE))/24</f>
        <v>46294.41938782128</v>
      </c>
      <c r="G30" s="2" t="s">
        <v>0</v>
      </c>
    </row>
    <row collapsed="false" customFormat="true" customHeight="false" hidden="false" outlineLevel="0" r="31">
      <c r="A31" s="2" t="s">
        <v>58</v>
      </c>
      <c r="B31" s="2" t="s">
        <v>193</v>
      </c>
      <c r="C31" s="3" t="n">
        <v>0</v>
      </c>
      <c r="D31" s="3" t="n">
        <v>30</v>
      </c>
      <c r="E31" s="4" t="n">
        <f>46294.2956012331 + (VLOOKUP($B$1,TimeZones!$A$1:$C$28,2,FALSE))/24</f>
        <v>46294.42060123307</v>
      </c>
      <c r="F31" s="4" t="n">
        <f>46294.2959004945 + (VLOOKUP($B$1,TimeZones!$A$1:$C$28,2,FALSE))/24</f>
        <v>46294.42090049448</v>
      </c>
      <c r="G31" s="2" t="s">
        <v>0</v>
      </c>
    </row>
    <row collapsed="false" customFormat="true" customHeight="false" hidden="false" outlineLevel="0" r="32">
      <c r="A32" s="2" t="s">
        <v>80</v>
      </c>
      <c r="B32" s="2" t="s">
        <v>197</v>
      </c>
      <c r="C32" s="3" t="n">
        <v>0</v>
      </c>
      <c r="D32" s="3" t="n">
        <v>30</v>
      </c>
      <c r="E32" s="4" t="n">
        <f>46294.3092901939 + (VLOOKUP($B$1,TimeZones!$A$1:$C$28,2,FALSE))/24</f>
        <v>46294.43429019392</v>
      </c>
      <c r="F32" s="4" t="n">
        <f>46294.3100595907 + (VLOOKUP($B$1,TimeZones!$A$1:$C$28,2,FALSE))/24</f>
        <v>46294.43505959073</v>
      </c>
      <c r="G32" s="2" t="s">
        <v>0</v>
      </c>
    </row>
    <row collapsed="false" customFormat="true" customHeight="false" hidden="false" outlineLevel="0" r="33">
      <c r="A33" s="2" t="s">
        <v>62</v>
      </c>
      <c r="B33" s="2" t="s">
        <v>201</v>
      </c>
      <c r="C33" s="3" t="n">
        <v>0</v>
      </c>
      <c r="D33" s="3" t="n">
        <v>30</v>
      </c>
      <c r="E33" s="4" t="n">
        <f>46294.2897513640 + (VLOOKUP($B$1,TimeZones!$A$1:$C$28,2,FALSE))/24</f>
        <v>46294.414751364005</v>
      </c>
      <c r="F33" s="4" t="n">
        <f>46294.2903983417 + (VLOOKUP($B$1,TimeZones!$A$1:$C$28,2,FALSE))/24</f>
        <v>46294.41539834167</v>
      </c>
      <c r="G33" s="2" t="s">
        <v>0</v>
      </c>
    </row>
    <row collapsed="false" customFormat="true" customHeight="false" hidden="false" outlineLevel="0" r="34">
      <c r="A34" s="2" t="s">
        <v>83</v>
      </c>
      <c r="B34" s="2" t="s">
        <v>207</v>
      </c>
      <c r="C34" s="3" t="n">
        <v>0</v>
      </c>
      <c r="D34" s="3" t="n">
        <v>30</v>
      </c>
      <c r="E34" s="4" t="n">
        <f>46294.3108716541 + (VLOOKUP($B$1,TimeZones!$A$1:$C$28,2,FALSE))/24</f>
        <v>46294.43587165409</v>
      </c>
      <c r="F34" s="4" t="n">
        <f>46294.3114323313 + (VLOOKUP($B$1,TimeZones!$A$1:$C$28,2,FALSE))/24</f>
        <v>46294.43643233126</v>
      </c>
      <c r="G34" s="2" t="s">
        <v>0</v>
      </c>
    </row>
    <row collapsed="false" customFormat="true" customHeight="false" hidden="false" outlineLevel="0" r="35">
      <c r="A35" s="2" t="s">
        <v>71</v>
      </c>
      <c r="B35" s="2" t="s">
        <v>211</v>
      </c>
      <c r="C35" s="3" t="n">
        <v>0</v>
      </c>
      <c r="D35" s="3" t="n">
        <v>30</v>
      </c>
      <c r="E35" s="4" t="n">
        <f>46294.2957814690 + (VLOOKUP($B$1,TimeZones!$A$1:$C$28,2,FALSE))/24</f>
        <v>46294.42078146897</v>
      </c>
      <c r="F35" s="4" t="n">
        <f>46294.2964705501 + (VLOOKUP($B$1,TimeZones!$A$1:$C$28,2,FALSE))/24</f>
        <v>46294.421470550136</v>
      </c>
      <c r="G35" s="2" t="s">
        <v>0</v>
      </c>
    </row>
    <row collapsed="false" customFormat="true" customHeight="false" hidden="false" outlineLevel="0" r="36">
      <c r="A36" s="2" t="s">
        <v>73</v>
      </c>
      <c r="B36" s="2" t="s">
        <v>227</v>
      </c>
      <c r="C36" s="3" t="n">
        <v>0</v>
      </c>
      <c r="D36" s="3" t="n">
        <v>30</v>
      </c>
      <c r="E36" s="4" t="n">
        <f>46294.3218616507 + (VLOOKUP($B$1,TimeZones!$A$1:$C$28,2,FALSE))/24</f>
        <v>46294.446861650744</v>
      </c>
      <c r="F36" s="4" t="n">
        <f>46294.3226934174 + (VLOOKUP($B$1,TimeZones!$A$1:$C$28,2,FALSE))/24</f>
        <v>46294.44769341736</v>
      </c>
      <c r="G36" s="2" t="s">
        <v>0</v>
      </c>
    </row>
    <row collapsed="false" customFormat="true" customHeight="false" hidden="false" outlineLevel="0" r="37">
      <c r="A37" s="2" t="s">
        <v>67</v>
      </c>
      <c r="B37" s="2" t="s">
        <v>241</v>
      </c>
      <c r="C37" s="3" t="n">
        <v>0</v>
      </c>
      <c r="D37" s="3" t="n">
        <v>30</v>
      </c>
      <c r="E37" s="4" t="n">
        <f>46294.2963211218 + (VLOOKUP($B$1,TimeZones!$A$1:$C$28,2,FALSE))/24</f>
        <v>46294.42132112185</v>
      </c>
      <c r="F37" s="4" t="n">
        <f>46294.2971154119 + (VLOOKUP($B$1,TimeZones!$A$1:$C$28,2,FALSE))/24</f>
        <v>46294.4221154119</v>
      </c>
      <c r="G37" s="2" t="s">
        <v>0</v>
      </c>
    </row>
    <row collapsed="false" customFormat="true" customHeight="false" hidden="false" outlineLevel="0" r="38">
      <c r="A38" s="2" t="s">
        <v>81</v>
      </c>
      <c r="B38" s="2" t="s">
        <v>251</v>
      </c>
      <c r="C38" s="3" t="n">
        <v>0</v>
      </c>
      <c r="D38" s="3" t="n">
        <v>30</v>
      </c>
      <c r="E38" s="4" t="n">
        <f>46294.3139580302 + (VLOOKUP($B$1,TimeZones!$A$1:$C$28,2,FALSE))/24</f>
        <v>46294.438958030194</v>
      </c>
      <c r="F38" s="4" t="n">
        <f>46294.3182134474 + (VLOOKUP($B$1,TimeZones!$A$1:$C$28,2,FALSE))/24</f>
        <v>46294.443213447434</v>
      </c>
      <c r="G38" s="2" t="s">
        <v>0</v>
      </c>
    </row>
    <row collapsed="false" customFormat="true" customHeight="false" hidden="false" outlineLevel="0" r="39">
      <c r="A39" s="2" t="s">
        <v>84</v>
      </c>
      <c r="B39" s="2" t="s">
        <v>252</v>
      </c>
      <c r="C39" s="3" t="n">
        <v>0</v>
      </c>
      <c r="D39" s="3" t="n">
        <v>30</v>
      </c>
      <c r="E39" s="4" t="n">
        <f>46294.2983089527 + (VLOOKUP($B$1,TimeZones!$A$1:$C$28,2,FALSE))/24</f>
        <v>46294.42330895274</v>
      </c>
      <c r="F39" s="4" t="n">
        <f>46294.2989964702 + (VLOOKUP($B$1,TimeZones!$A$1:$C$28,2,FALSE))/24</f>
        <v>46294.42399647017</v>
      </c>
      <c r="G39" s="2" t="s">
        <v>0</v>
      </c>
    </row>
    <row collapsed="false" customFormat="true" customHeight="false" hidden="false" outlineLevel="0" r="40">
      <c r="A40" s="2" t="s">
        <v>66</v>
      </c>
      <c r="B40" s="2" t="s">
        <v>291</v>
      </c>
      <c r="C40" s="3" t="n">
        <v>0</v>
      </c>
      <c r="D40" s="3" t="n">
        <v>30</v>
      </c>
      <c r="E40" s="4" t="n">
        <f>46294.3150032932 + (VLOOKUP($B$1,TimeZones!$A$1:$C$28,2,FALSE))/24</f>
        <v>46294.44000329323</v>
      </c>
      <c r="F40" s="4" t="n">
        <f>46294.3152650310 + (VLOOKUP($B$1,TimeZones!$A$1:$C$28,2,FALSE))/24</f>
        <v>46294.44026503105</v>
      </c>
      <c r="G40" s="2" t="s">
        <v>0</v>
      </c>
    </row>
    <row collapsed="false" customFormat="true" customHeight="false" hidden="false" outlineLevel="0" r="41">
      <c r="A41" s="2" t="s">
        <v>85</v>
      </c>
      <c r="B41" s="2" t="s">
        <v>292</v>
      </c>
      <c r="C41" s="3" t="n">
        <v>0</v>
      </c>
      <c r="D41" s="3" t="n">
        <v>30</v>
      </c>
      <c r="E41" s="4" t="n">
        <f>46294.3173826573 + (VLOOKUP($B$1,TimeZones!$A$1:$C$28,2,FALSE))/24</f>
        <v>46294.44238265732</v>
      </c>
      <c r="F41" s="4" t="n">
        <f>46294.3177093617 + (VLOOKUP($B$1,TimeZones!$A$1:$C$28,2,FALSE))/24</f>
        <v>46294.4427093617</v>
      </c>
      <c r="G41" s="2" t="s">
        <v>0</v>
      </c>
    </row>
  </sheetData>
  <dataValidations>
    <dataValidation allowBlank="0" errorStyle="stop" showDropDown="0" showErrorMessage="1" showInputMessage="0" sqref="B1" type="list">
      <formula1>TimeZones!$A$1:$A$28</formula1>
    </dataValidation>
  </dataValidations>
</worksheet>
</file>

<file path=xl/worksheets/sheet4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23.2"/>
    <col customWidth="1" max="5" min="5" width="46.4"/>
    <col customWidth="1" max="6" min="6" width="46.4"/>
    <col customWidth="1" max="7" min="7" width="23.2"/>
    <col customWidth="1" max="8" min="8" width="46.4"/>
  </cols>
  <sheetData>
    <row collapsed="false" customFormat="true" customHeight="false" hidden="false" outlineLevel="0" r="1">
      <c r="A1" s="1" t="s">
        <v>281</v>
      </c>
      <c r="B1" s="2" t="s">
        <v>214</v>
      </c>
    </row>
    <row collapsed="false" customFormat="true" customHeight="false" hidden="false" outlineLevel="0" r="3">
      <c r="A3" s="1" t="s">
        <v>176</v>
      </c>
      <c r="B3" s="1" t="s">
        <v>275</v>
      </c>
      <c r="C3" s="1" t="s">
        <v>216</v>
      </c>
      <c r="D3" s="1" t="s">
        <v>199</v>
      </c>
      <c r="E3" s="1" t="str">
        <f>"Время начала сессии (" &amp; VLOOKUP($B$1,TimeZones!$A$1:$C$28,3,FALSE) &amp; ")"</f>
        <v>Время начала сессии (Москва)</v>
      </c>
      <c r="F3" s="1" t="str">
        <f>"Время конца сессии (" &amp; VLOOKUP($B$1,TimeZones!$A$1:$C$28,3,FALSE) &amp; ")"</f>
        <v>Время конца сессии (Москва)</v>
      </c>
      <c r="G3" s="1" t="s">
        <v>257</v>
      </c>
      <c r="H3" s="1" t="s">
        <v>149</v>
      </c>
    </row>
    <row collapsed="false" customFormat="true" customHeight="false" hidden="false" outlineLevel="0" r="4">
      <c r="A4" s="2" t="s">
        <v>96</v>
      </c>
      <c r="B4" s="2" t="s">
        <v>175</v>
      </c>
      <c r="C4" s="3" t="n">
        <v>30</v>
      </c>
      <c r="D4" s="3" t="n">
        <v>30</v>
      </c>
      <c r="E4" s="4" t="n">
        <f>46294.3994529698 + (VLOOKUP($B$1,TimeZones!$A$1:$C$28,2,FALSE))/24</f>
        <v>46294.52445296982</v>
      </c>
      <c r="F4" s="4" t="n">
        <f>46294.4069052536 + (VLOOKUP($B$1,TimeZones!$A$1:$C$28,2,FALSE))/24</f>
        <v>46294.531905253636</v>
      </c>
      <c r="G4" s="2" t="s">
        <v>0</v>
      </c>
    </row>
    <row collapsed="false" customFormat="true" customHeight="false" hidden="false" outlineLevel="0" r="5">
      <c r="A5" s="2" t="s">
        <v>107</v>
      </c>
      <c r="B5" s="2" t="s">
        <v>125</v>
      </c>
      <c r="C5" s="3" t="n">
        <v>27</v>
      </c>
      <c r="D5" s="3" t="n">
        <v>30</v>
      </c>
      <c r="E5" s="4" t="n">
        <f>46294.3745552362 + (VLOOKUP($B$1,TimeZones!$A$1:$C$28,2,FALSE))/24</f>
        <v>46294.499555236216</v>
      </c>
      <c r="F5" s="4" t="n">
        <f>46294.3810378214 + (VLOOKUP($B$1,TimeZones!$A$1:$C$28,2,FALSE))/24</f>
        <v>46294.506037821426</v>
      </c>
      <c r="G5" s="2" t="s">
        <v>0</v>
      </c>
    </row>
    <row collapsed="false" customFormat="true" customHeight="false" hidden="false" outlineLevel="0" r="6">
      <c r="A6" s="2" t="s">
        <v>103</v>
      </c>
      <c r="B6" s="2" t="s">
        <v>186</v>
      </c>
      <c r="C6" s="3" t="n">
        <v>26</v>
      </c>
      <c r="D6" s="3" t="n">
        <v>30</v>
      </c>
      <c r="E6" s="4" t="n">
        <f>46294.3826046693 + (VLOOKUP($B$1,TimeZones!$A$1:$C$28,2,FALSE))/24</f>
        <v>46294.507604669314</v>
      </c>
      <c r="F6" s="4" t="n">
        <f>46294.3983770525 + (VLOOKUP($B$1,TimeZones!$A$1:$C$28,2,FALSE))/24</f>
        <v>46294.52337705254</v>
      </c>
      <c r="G6" s="2" t="s">
        <v>0</v>
      </c>
    </row>
    <row collapsed="false" customFormat="true" customHeight="false" hidden="false" outlineLevel="0" r="7">
      <c r="A7" s="2" t="s">
        <v>94</v>
      </c>
      <c r="B7" s="2" t="s">
        <v>187</v>
      </c>
      <c r="C7" s="3" t="n">
        <v>21</v>
      </c>
      <c r="D7" s="3" t="n">
        <v>30</v>
      </c>
      <c r="E7" s="4" t="n">
        <f>46294.3737788828 + (VLOOKUP($B$1,TimeZones!$A$1:$C$28,2,FALSE))/24</f>
        <v>46294.49877888276</v>
      </c>
      <c r="F7" s="4" t="n">
        <f>46294.3783652512 + (VLOOKUP($B$1,TimeZones!$A$1:$C$28,2,FALSE))/24</f>
        <v>46294.503365251214</v>
      </c>
      <c r="G7" s="2" t="s">
        <v>0</v>
      </c>
    </row>
    <row collapsed="false" customFormat="true" customHeight="false" hidden="false" outlineLevel="0" r="8">
      <c r="A8" s="2" t="s">
        <v>100</v>
      </c>
      <c r="B8" s="2" t="s">
        <v>267</v>
      </c>
      <c r="C8" s="3" t="n">
        <v>20</v>
      </c>
      <c r="D8" s="3" t="n">
        <v>30</v>
      </c>
      <c r="E8" s="4" t="n">
        <f>46294.3668931271 + (VLOOKUP($B$1,TimeZones!$A$1:$C$28,2,FALSE))/24</f>
        <v>46294.49189312713</v>
      </c>
      <c r="F8" s="4" t="n">
        <f>46294.3723042008 + (VLOOKUP($B$1,TimeZones!$A$1:$C$28,2,FALSE))/24</f>
        <v>46294.4973042008</v>
      </c>
      <c r="G8" s="2" t="s">
        <v>0</v>
      </c>
    </row>
    <row collapsed="false" customFormat="true" customHeight="false" hidden="false" outlineLevel="0" r="9">
      <c r="A9" s="2" t="s">
        <v>90</v>
      </c>
      <c r="B9" s="2" t="s">
        <v>159</v>
      </c>
      <c r="C9" s="3" t="n">
        <v>15</v>
      </c>
      <c r="D9" s="3" t="n">
        <v>30</v>
      </c>
      <c r="E9" s="4" t="n">
        <f>46294.3664720752 + (VLOOKUP($B$1,TimeZones!$A$1:$C$28,2,FALSE))/24</f>
        <v>46294.4914720752</v>
      </c>
      <c r="F9" s="4" t="n">
        <f>46294.3745107763 + (VLOOKUP($B$1,TimeZones!$A$1:$C$28,2,FALSE))/24</f>
        <v>46294.49951077632</v>
      </c>
      <c r="G9" s="2" t="s">
        <v>0</v>
      </c>
    </row>
    <row collapsed="false" customFormat="true" customHeight="false" hidden="false" outlineLevel="0" r="10">
      <c r="A10" s="2" t="s">
        <v>89</v>
      </c>
      <c r="B10" s="2" t="s">
        <v>185</v>
      </c>
      <c r="C10" s="3" t="n">
        <v>14</v>
      </c>
      <c r="D10" s="3" t="n">
        <v>30</v>
      </c>
      <c r="E10" s="4" t="n">
        <f>46294.3573111265 + (VLOOKUP($B$1,TimeZones!$A$1:$C$28,2,FALSE))/24</f>
        <v>46294.48231112647</v>
      </c>
      <c r="F10" s="4" t="n">
        <f>46294.3728399065 + (VLOOKUP($B$1,TimeZones!$A$1:$C$28,2,FALSE))/24</f>
        <v>46294.49783990646</v>
      </c>
      <c r="G10" s="2" t="s">
        <v>0</v>
      </c>
    </row>
    <row collapsed="false" customFormat="true" customHeight="false" hidden="false" outlineLevel="0" r="11">
      <c r="A11" s="2" t="s">
        <v>102</v>
      </c>
      <c r="B11" s="2" t="s">
        <v>204</v>
      </c>
      <c r="C11" s="3" t="n">
        <v>14</v>
      </c>
      <c r="D11" s="3" t="n">
        <v>30</v>
      </c>
      <c r="E11" s="4" t="n">
        <f>46294.3578785690 + (VLOOKUP($B$1,TimeZones!$A$1:$C$28,2,FALSE))/24</f>
        <v>46294.48287856899</v>
      </c>
      <c r="F11" s="4" t="n">
        <f>46294.3652455350 + (VLOOKUP($B$1,TimeZones!$A$1:$C$28,2,FALSE))/24</f>
        <v>46294.49024553501</v>
      </c>
      <c r="G11" s="2" t="s">
        <v>0</v>
      </c>
    </row>
    <row collapsed="false" customFormat="true" customHeight="false" hidden="false" outlineLevel="0" r="12">
      <c r="A12" s="2" t="s">
        <v>88</v>
      </c>
      <c r="B12" s="2" t="s">
        <v>136</v>
      </c>
      <c r="C12" s="3" t="n">
        <v>13</v>
      </c>
      <c r="D12" s="3" t="n">
        <v>30</v>
      </c>
      <c r="E12" s="4" t="n">
        <f>46294.4015122533 + (VLOOKUP($B$1,TimeZones!$A$1:$C$28,2,FALSE))/24</f>
        <v>46294.526512253346</v>
      </c>
      <c r="F12" s="4" t="n">
        <f>46294.4166344028 + (VLOOKUP($B$1,TimeZones!$A$1:$C$28,2,FALSE))/24</f>
        <v>46294.541634402776</v>
      </c>
      <c r="G12" s="2" t="s">
        <v>0</v>
      </c>
    </row>
    <row collapsed="false" customFormat="true" customHeight="false" hidden="false" outlineLevel="0" r="13">
      <c r="A13" s="2" t="s">
        <v>99</v>
      </c>
      <c r="B13" s="2" t="s">
        <v>190</v>
      </c>
      <c r="C13" s="3" t="n">
        <v>10</v>
      </c>
      <c r="D13" s="3" t="n">
        <v>30</v>
      </c>
      <c r="E13" s="4" t="n">
        <f>46294.3582970810 + (VLOOKUP($B$1,TimeZones!$A$1:$C$28,2,FALSE))/24</f>
        <v>46294.48329708097</v>
      </c>
      <c r="F13" s="4" t="n">
        <f>46294.3798162059 + (VLOOKUP($B$1,TimeZones!$A$1:$C$28,2,FALSE))/24</f>
        <v>46294.50481620588</v>
      </c>
      <c r="G13" s="2" t="s">
        <v>0</v>
      </c>
    </row>
    <row collapsed="false" customFormat="true" customHeight="false" hidden="false" outlineLevel="0" r="14">
      <c r="A14" s="2" t="s">
        <v>101</v>
      </c>
      <c r="B14" s="2" t="s">
        <v>202</v>
      </c>
      <c r="C14" s="3" t="n">
        <v>10</v>
      </c>
      <c r="D14" s="3" t="n">
        <v>30</v>
      </c>
      <c r="E14" s="4" t="n">
        <f>46294.3579002989 + (VLOOKUP($B$1,TimeZones!$A$1:$C$28,2,FALSE))/24</f>
        <v>46294.482900298935</v>
      </c>
      <c r="F14" s="4" t="n">
        <f>46294.3729030640 + (VLOOKUP($B$1,TimeZones!$A$1:$C$28,2,FALSE))/24</f>
        <v>46294.497903064024</v>
      </c>
      <c r="G14" s="2" t="s">
        <v>0</v>
      </c>
    </row>
    <row collapsed="false" customFormat="true" customHeight="false" hidden="false" outlineLevel="0" r="15">
      <c r="A15" s="2" t="s">
        <v>91</v>
      </c>
      <c r="B15" s="2" t="s">
        <v>215</v>
      </c>
      <c r="C15" s="3" t="n">
        <v>10</v>
      </c>
      <c r="D15" s="3" t="n">
        <v>30</v>
      </c>
      <c r="E15" s="4" t="n">
        <f>46294.4013627876 + (VLOOKUP($B$1,TimeZones!$A$1:$C$28,2,FALSE))/24</f>
        <v>46294.526362787605</v>
      </c>
      <c r="F15" s="4" t="n">
        <f>46294.4348588666 + (VLOOKUP($B$1,TimeZones!$A$1:$C$28,2,FALSE))/24</f>
        <v>46294.55985886662</v>
      </c>
      <c r="G15" s="2" t="s">
        <v>0</v>
      </c>
    </row>
    <row collapsed="false" customFormat="true" customHeight="false" hidden="false" outlineLevel="0" r="16">
      <c r="A16" s="2" t="s">
        <v>104</v>
      </c>
      <c r="B16" s="2" t="s">
        <v>231</v>
      </c>
      <c r="C16" s="3" t="n">
        <v>9</v>
      </c>
      <c r="D16" s="3" t="n">
        <v>30</v>
      </c>
      <c r="E16" s="4" t="n">
        <f>46294.4025527536 + (VLOOKUP($B$1,TimeZones!$A$1:$C$28,2,FALSE))/24</f>
        <v>46294.52755275362</v>
      </c>
      <c r="F16" s="4" t="n">
        <f>46294.4184127225 + (VLOOKUP($B$1,TimeZones!$A$1:$C$28,2,FALSE))/24</f>
        <v>46294.54341272251</v>
      </c>
      <c r="G16" s="2" t="s">
        <v>0</v>
      </c>
    </row>
    <row collapsed="false" customFormat="true" customHeight="false" hidden="false" outlineLevel="0" r="17">
      <c r="A17" s="2" t="s">
        <v>98</v>
      </c>
      <c r="B17" s="2" t="s">
        <v>232</v>
      </c>
      <c r="C17" s="3" t="n">
        <v>9</v>
      </c>
      <c r="D17" s="3" t="n">
        <v>30</v>
      </c>
      <c r="E17" s="4" t="n">
        <f>46294.3747666287 + (VLOOKUP($B$1,TimeZones!$A$1:$C$28,2,FALSE))/24</f>
        <v>46294.499766628716</v>
      </c>
      <c r="F17" s="4" t="n">
        <f>46294.4154440819 + (VLOOKUP($B$1,TimeZones!$A$1:$C$28,2,FALSE))/24</f>
        <v>46294.54044408192</v>
      </c>
      <c r="G17" s="2" t="s">
        <v>0</v>
      </c>
    </row>
    <row collapsed="false" customFormat="true" customHeight="false" hidden="false" outlineLevel="0" r="18">
      <c r="A18" s="2" t="s">
        <v>87</v>
      </c>
      <c r="B18" s="2" t="s">
        <v>239</v>
      </c>
      <c r="C18" s="3" t="n">
        <v>8</v>
      </c>
      <c r="D18" s="3" t="n">
        <v>30</v>
      </c>
      <c r="E18" s="4" t="n">
        <f>46294.4008015406 + (VLOOKUP($B$1,TimeZones!$A$1:$C$28,2,FALSE))/24</f>
        <v>46294.5258015406</v>
      </c>
      <c r="F18" s="4" t="n">
        <f>46294.4145168023 + (VLOOKUP($B$1,TimeZones!$A$1:$C$28,2,FALSE))/24</f>
        <v>46294.53951680226</v>
      </c>
      <c r="G18" s="2" t="s">
        <v>0</v>
      </c>
    </row>
    <row collapsed="false" customFormat="true" customHeight="false" hidden="false" outlineLevel="0" r="19">
      <c r="A19" s="2" t="s">
        <v>95</v>
      </c>
      <c r="B19" s="2" t="s">
        <v>147</v>
      </c>
      <c r="C19" s="3" t="n">
        <v>5.5</v>
      </c>
      <c r="D19" s="3" t="n">
        <v>30</v>
      </c>
      <c r="E19" s="4" t="n">
        <f>46294.3768317170 + (VLOOKUP($B$1,TimeZones!$A$1:$C$28,2,FALSE))/24</f>
        <v>46294.50183171701</v>
      </c>
      <c r="F19" s="4" t="n">
        <f>46294.3985931832 + (VLOOKUP($B$1,TimeZones!$A$1:$C$28,2,FALSE))/24</f>
        <v>46294.523593183185</v>
      </c>
      <c r="G19" s="2" t="s">
        <v>0</v>
      </c>
    </row>
    <row collapsed="false" customFormat="true" customHeight="false" hidden="false" outlineLevel="0" r="20">
      <c r="A20" s="2" t="s">
        <v>92</v>
      </c>
      <c r="B20" s="2" t="s">
        <v>203</v>
      </c>
      <c r="C20" s="3" t="n">
        <v>5</v>
      </c>
      <c r="D20" s="3" t="n">
        <v>30</v>
      </c>
      <c r="E20" s="4" t="n">
        <f>46294.3676653248 + (VLOOKUP($B$1,TimeZones!$A$1:$C$28,2,FALSE))/24</f>
        <v>46294.49266532476</v>
      </c>
      <c r="F20" s="4" t="n">
        <f>46294.3955190328 + (VLOOKUP($B$1,TimeZones!$A$1:$C$28,2,FALSE))/24</f>
        <v>46294.52051903279</v>
      </c>
      <c r="G20" s="2" t="s">
        <v>0</v>
      </c>
    </row>
    <row collapsed="false" customFormat="true" customHeight="false" hidden="false" outlineLevel="0" r="21">
      <c r="A21" s="2" t="s">
        <v>106</v>
      </c>
      <c r="B21" s="2" t="s">
        <v>210</v>
      </c>
      <c r="C21" s="3" t="n">
        <v>4</v>
      </c>
      <c r="D21" s="3" t="n">
        <v>30</v>
      </c>
      <c r="E21" s="4" t="n">
        <f>46294.4014599256 + (VLOOKUP($B$1,TimeZones!$A$1:$C$28,2,FALSE))/24</f>
        <v>46294.52645992557</v>
      </c>
      <c r="F21" s="4" t="n">
        <f>46294.4145833339 + (VLOOKUP($B$1,TimeZones!$A$1:$C$28,2,FALSE))/24</f>
        <v>46294.539583333855</v>
      </c>
      <c r="G21" s="2" t="s">
        <v>0</v>
      </c>
    </row>
    <row collapsed="false" customFormat="true" customHeight="false" hidden="false" outlineLevel="0" r="22">
      <c r="A22" s="2" t="s">
        <v>93</v>
      </c>
      <c r="B22" s="2" t="s">
        <v>157</v>
      </c>
      <c r="C22" s="3" t="n">
        <v>0</v>
      </c>
      <c r="D22" s="3" t="n">
        <v>30</v>
      </c>
      <c r="E22" s="4" t="n">
        <f>46294.3579635749 + (VLOOKUP($B$1,TimeZones!$A$1:$C$28,2,FALSE))/24</f>
        <v>46294.482963574934</v>
      </c>
      <c r="F22" s="4" t="n">
        <f>46294.3975233872 + (VLOOKUP($B$1,TimeZones!$A$1:$C$28,2,FALSE))/24</f>
        <v>46294.52252338719</v>
      </c>
      <c r="G22" s="2" t="s">
        <v>0</v>
      </c>
    </row>
    <row collapsed="false" customFormat="true" customHeight="false" hidden="false" outlineLevel="0" r="23">
      <c r="A23" s="2" t="s">
        <v>97</v>
      </c>
      <c r="B23" s="2" t="s">
        <v>177</v>
      </c>
      <c r="C23" s="3" t="n">
        <v>0</v>
      </c>
      <c r="D23" s="3" t="n">
        <v>30</v>
      </c>
      <c r="E23" s="4" t="n">
        <f>46294.3565137210 + (VLOOKUP($B$1,TimeZones!$A$1:$C$28,2,FALSE))/24</f>
        <v>46294.48151372098</v>
      </c>
      <c r="F23" s="4" t="n">
        <f>46294.3948664906 + (VLOOKUP($B$1,TimeZones!$A$1:$C$28,2,FALSE))/24</f>
        <v>46294.519866490555</v>
      </c>
      <c r="G23" s="2" t="s">
        <v>0</v>
      </c>
    </row>
    <row collapsed="false" customFormat="true" customHeight="false" hidden="false" outlineLevel="0" r="24">
      <c r="A24" s="2" t="s">
        <v>105</v>
      </c>
      <c r="B24" s="2" t="s">
        <v>284</v>
      </c>
      <c r="C24" s="3" t="n">
        <v>0</v>
      </c>
      <c r="D24" s="3" t="n">
        <v>30</v>
      </c>
      <c r="E24" s="4" t="n">
        <f>46294.4019644809 + (VLOOKUP($B$1,TimeZones!$A$1:$C$28,2,FALSE))/24</f>
        <v>46294.526964480865</v>
      </c>
      <c r="F24" s="4" t="n">
        <f>46294.4028086939 + (VLOOKUP($B$1,TimeZones!$A$1:$C$28,2,FALSE))/24</f>
        <v>46294.52780869392</v>
      </c>
      <c r="G24" s="2" t="s">
        <v>0</v>
      </c>
    </row>
  </sheetData>
  <dataValidations>
    <dataValidation allowBlank="0" errorStyle="stop" showDropDown="0" showErrorMessage="1" showInputMessage="0" sqref="B1" type="list">
      <formula1>TimeZones!$A$1:$A$28</formula1>
    </dataValidation>
  </dataValidations>
</worksheet>
</file>

<file path=xl/worksheets/sheet5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23.2"/>
    <col customWidth="1" max="5" min="5" width="46.4"/>
    <col customWidth="1" max="6" min="6" width="46.4"/>
    <col customWidth="1" max="7" min="7" width="23.2"/>
    <col customWidth="1" max="8" min="8" width="46.4"/>
  </cols>
  <sheetData>
    <row collapsed="false" customFormat="true" customHeight="false" hidden="false" outlineLevel="0" r="1">
      <c r="A1" s="1" t="s">
        <v>281</v>
      </c>
      <c r="B1" s="2" t="s">
        <v>214</v>
      </c>
    </row>
    <row collapsed="false" customFormat="true" customHeight="false" hidden="false" outlineLevel="0" r="3">
      <c r="A3" s="1" t="s">
        <v>176</v>
      </c>
      <c r="B3" s="1" t="s">
        <v>275</v>
      </c>
      <c r="C3" s="1" t="s">
        <v>216</v>
      </c>
      <c r="D3" s="1" t="s">
        <v>199</v>
      </c>
      <c r="E3" s="1" t="str">
        <f>"Время начала сессии (" &amp; VLOOKUP($B$1,TimeZones!$A$1:$C$28,3,FALSE) &amp; ")"</f>
        <v>Время начала сессии (Москва)</v>
      </c>
      <c r="F3" s="1" t="str">
        <f>"Время конца сессии (" &amp; VLOOKUP($B$1,TimeZones!$A$1:$C$28,3,FALSE) &amp; ")"</f>
        <v>Время конца сессии (Москва)</v>
      </c>
      <c r="G3" s="1" t="s">
        <v>257</v>
      </c>
      <c r="H3" s="1" t="s">
        <v>149</v>
      </c>
    </row>
    <row collapsed="false" customFormat="true" customHeight="false" hidden="false" outlineLevel="0" r="4">
      <c r="A4" s="2" t="s">
        <v>108</v>
      </c>
      <c r="B4" s="2" t="s">
        <v>135</v>
      </c>
      <c r="C4" s="3" t="n">
        <v>11</v>
      </c>
      <c r="D4" s="3" t="n">
        <v>30</v>
      </c>
      <c r="E4" s="4" t="n">
        <f>46294.2695855278 + (VLOOKUP($B$1,TimeZones!$A$1:$C$28,2,FALSE))/24</f>
        <v>46294.39458552785</v>
      </c>
      <c r="F4" s="4" t="n">
        <f>46294.2766162374 + (VLOOKUP($B$1,TimeZones!$A$1:$C$28,2,FALSE))/24</f>
        <v>46294.40161623741</v>
      </c>
      <c r="G4" s="2" t="s">
        <v>0</v>
      </c>
    </row>
    <row collapsed="false" customFormat="true" customHeight="false" hidden="false" outlineLevel="0" r="5">
      <c r="A5" s="2" t="s">
        <v>109</v>
      </c>
      <c r="B5" s="2" t="s">
        <v>180</v>
      </c>
      <c r="C5" s="3" t="n">
        <v>10</v>
      </c>
      <c r="D5" s="3" t="n">
        <v>30</v>
      </c>
      <c r="E5" s="4" t="n">
        <f>46294.2708626180 + (VLOOKUP($B$1,TimeZones!$A$1:$C$28,2,FALSE))/24</f>
        <v>46294.395862617996</v>
      </c>
      <c r="F5" s="4" t="n">
        <f>46294.2766702621 + (VLOOKUP($B$1,TimeZones!$A$1:$C$28,2,FALSE))/24</f>
        <v>46294.40167026209</v>
      </c>
      <c r="G5" s="2" t="s">
        <v>0</v>
      </c>
    </row>
    <row collapsed="false" customFormat="true" customHeight="false" hidden="false" outlineLevel="0" r="6">
      <c r="A6" s="2" t="s">
        <v>110</v>
      </c>
      <c r="B6" s="2" t="s">
        <v>196</v>
      </c>
      <c r="C6" s="3" t="n">
        <v>6</v>
      </c>
      <c r="D6" s="3" t="n">
        <v>30</v>
      </c>
      <c r="E6" s="4" t="n">
        <f>46294.2701543685 + (VLOOKUP($B$1,TimeZones!$A$1:$C$28,2,FALSE))/24</f>
        <v>46294.39515436854</v>
      </c>
      <c r="F6" s="4" t="n">
        <f>46294.2973160056 + (VLOOKUP($B$1,TimeZones!$A$1:$C$28,2,FALSE))/24</f>
        <v>46294.4223160056</v>
      </c>
      <c r="G6" s="2" t="s">
        <v>0</v>
      </c>
    </row>
    <row collapsed="false" customFormat="true" customHeight="false" hidden="false" outlineLevel="0" r="7">
      <c r="A7" s="2" t="s">
        <v>112</v>
      </c>
      <c r="B7" s="2" t="s">
        <v>138</v>
      </c>
      <c r="C7" s="3" t="n">
        <v>4</v>
      </c>
      <c r="D7" s="3" t="n">
        <v>30</v>
      </c>
      <c r="E7" s="4" t="n">
        <f>46294.3004265747 + (VLOOKUP($B$1,TimeZones!$A$1:$C$28,2,FALSE))/24</f>
        <v>46294.425426574686</v>
      </c>
      <c r="F7" s="4" t="n">
        <f>46294.3094980563 + (VLOOKUP($B$1,TimeZones!$A$1:$C$28,2,FALSE))/24</f>
        <v>46294.43449805632</v>
      </c>
      <c r="G7" s="2" t="s">
        <v>0</v>
      </c>
    </row>
    <row collapsed="false" customFormat="true" customHeight="false" hidden="false" outlineLevel="0" r="8">
      <c r="A8" s="2" t="s">
        <v>111</v>
      </c>
      <c r="B8" s="2" t="s">
        <v>268</v>
      </c>
      <c r="C8" s="3" t="n">
        <v>3</v>
      </c>
      <c r="D8" s="3" t="n">
        <v>30</v>
      </c>
      <c r="E8" s="4" t="n">
        <f>46294.2784964603 + (VLOOKUP($B$1,TimeZones!$A$1:$C$28,2,FALSE))/24</f>
        <v>46294.4034964603</v>
      </c>
      <c r="F8" s="4" t="n">
        <f>46294.2826507786 + (VLOOKUP($B$1,TimeZones!$A$1:$C$28,2,FALSE))/24</f>
        <v>46294.40765077859</v>
      </c>
      <c r="G8" s="2" t="s">
        <v>0</v>
      </c>
    </row>
    <row collapsed="false" customFormat="true" customHeight="false" hidden="false" outlineLevel="0" r="9">
      <c r="A9" s="2" t="s">
        <v>115</v>
      </c>
      <c r="B9" s="2" t="s">
        <v>290</v>
      </c>
      <c r="C9" s="3" t="n">
        <v>2</v>
      </c>
      <c r="D9" s="3" t="n">
        <v>30</v>
      </c>
      <c r="E9" s="4" t="n">
        <f>46294.2708427932 + (VLOOKUP($B$1,TimeZones!$A$1:$C$28,2,FALSE))/24</f>
        <v>46294.39584279316</v>
      </c>
      <c r="F9" s="4" t="n">
        <f>46294.2745347457 + (VLOOKUP($B$1,TimeZones!$A$1:$C$28,2,FALSE))/24</f>
        <v>46294.39953474572</v>
      </c>
      <c r="G9" s="2" t="s">
        <v>0</v>
      </c>
    </row>
    <row collapsed="false" customFormat="true" customHeight="false" hidden="false" outlineLevel="0" r="10">
      <c r="A10" s="2" t="s">
        <v>113</v>
      </c>
      <c r="B10" s="2" t="s">
        <v>145</v>
      </c>
      <c r="C10" s="3" t="n">
        <v>0</v>
      </c>
      <c r="D10" s="3" t="n">
        <v>30</v>
      </c>
      <c r="E10" s="4" t="n">
        <f>46294.2836669445 + (VLOOKUP($B$1,TimeZones!$A$1:$C$28,2,FALSE))/24</f>
        <v>46294.408666944466</v>
      </c>
      <c r="F10" s="4" t="n">
        <f>46294.2845128509 + (VLOOKUP($B$1,TimeZones!$A$1:$C$28,2,FALSE))/24</f>
        <v>46294.40951285087</v>
      </c>
      <c r="G10" s="2" t="s">
        <v>0</v>
      </c>
    </row>
    <row collapsed="false" customFormat="true" customHeight="false" hidden="false" outlineLevel="0" r="11">
      <c r="A11" s="2" t="s">
        <v>114</v>
      </c>
      <c r="B11" s="2" t="s">
        <v>263</v>
      </c>
      <c r="C11" s="3" t="n">
        <v>0</v>
      </c>
      <c r="D11" s="3" t="n">
        <v>30</v>
      </c>
      <c r="E11" s="4" t="n">
        <f>46294.2695842622 + (VLOOKUP($B$1,TimeZones!$A$1:$C$28,2,FALSE))/24</f>
        <v>46294.39458426219</v>
      </c>
      <c r="F11" s="4" t="n">
        <f>46294.2766162249 + (VLOOKUP($B$1,TimeZones!$A$1:$C$28,2,FALSE))/24</f>
        <v>46294.40161622493</v>
      </c>
      <c r="G11" s="2" t="s">
        <v>0</v>
      </c>
    </row>
  </sheetData>
  <dataValidations>
    <dataValidation allowBlank="0" errorStyle="stop" showDropDown="0" showErrorMessage="1" showInputMessage="0" sqref="B1" type="list">
      <formula1>TimeZones!$A$1:$A$28</formula1>
    </dataValidation>
  </dataValidations>
</worksheet>
</file>

<file path=xl/worksheets/sheet6.xml><?xml version="1.0" encoding="utf-8"?>
<worksheet xmlns:r="http://schemas.openxmlformats.org/officeDocument/2006/relationships" xmlns="http://schemas.openxmlformats.org/spreadsheetml/2006/main">
  <cols>
    <col customWidth="1" max="1" min="1" width="139.2"/>
    <col customWidth="1" max="2" min="2" width="34.8"/>
    <col customWidth="1" max="3" min="3" width="92.8"/>
  </cols>
  <sheetData>
    <row collapsed="false" customFormat="true" customHeight="false" hidden="false" outlineLevel="0" r="1">
      <c r="A1" s="2" t="s">
        <v>117</v>
      </c>
      <c r="B1" s="2" t="n">
        <v>0</v>
      </c>
      <c r="C1" s="2" t="s">
        <v>116</v>
      </c>
    </row>
    <row collapsed="false" customFormat="true" customHeight="false" hidden="false" outlineLevel="0" r="2">
      <c r="A2" s="2" t="s">
        <v>168</v>
      </c>
      <c r="B2" s="2" t="n">
        <v>2</v>
      </c>
      <c r="C2" s="2" t="s">
        <v>167</v>
      </c>
    </row>
    <row collapsed="false" customFormat="true" customHeight="false" hidden="false" outlineLevel="0" r="3">
      <c r="A3" s="2" t="s">
        <v>214</v>
      </c>
      <c r="B3" s="2" t="n">
        <v>3</v>
      </c>
      <c r="C3" s="2" t="s">
        <v>213</v>
      </c>
    </row>
    <row collapsed="false" customFormat="true" customHeight="false" hidden="false" outlineLevel="0" r="4">
      <c r="A4" s="2" t="s">
        <v>250</v>
      </c>
      <c r="B4" s="2" t="n">
        <v>3</v>
      </c>
      <c r="C4" s="2" t="s">
        <v>249</v>
      </c>
    </row>
    <row collapsed="false" customFormat="true" customHeight="false" hidden="false" outlineLevel="0" r="5">
      <c r="A5" s="2" t="s">
        <v>174</v>
      </c>
      <c r="B5" s="2" t="n">
        <v>3</v>
      </c>
      <c r="C5" s="2" t="s">
        <v>173</v>
      </c>
    </row>
    <row collapsed="false" customFormat="true" customHeight="false" hidden="false" outlineLevel="0" r="6">
      <c r="A6" s="2" t="s">
        <v>143</v>
      </c>
      <c r="B6" s="2" t="n">
        <v>3</v>
      </c>
      <c r="C6" s="2" t="s">
        <v>142</v>
      </c>
    </row>
    <row collapsed="false" customFormat="true" customHeight="false" hidden="false" outlineLevel="0" r="7">
      <c r="A7" s="2" t="s">
        <v>127</v>
      </c>
      <c r="B7" s="2" t="n">
        <v>4</v>
      </c>
      <c r="C7" s="2" t="s">
        <v>126</v>
      </c>
    </row>
    <row collapsed="false" customFormat="true" customHeight="false" hidden="false" outlineLevel="0" r="8">
      <c r="A8" s="2" t="s">
        <v>245</v>
      </c>
      <c r="B8" s="2" t="n">
        <v>4</v>
      </c>
      <c r="C8" s="2" t="s">
        <v>244</v>
      </c>
    </row>
    <row collapsed="false" customFormat="true" customHeight="false" hidden="false" outlineLevel="0" r="9">
      <c r="A9" s="2" t="s">
        <v>271</v>
      </c>
      <c r="B9" s="2" t="n">
        <v>4</v>
      </c>
      <c r="C9" s="2" t="s">
        <v>270</v>
      </c>
    </row>
    <row collapsed="false" customFormat="true" customHeight="false" hidden="false" outlineLevel="0" r="10">
      <c r="A10" s="2" t="s">
        <v>243</v>
      </c>
      <c r="B10" s="2" t="n">
        <v>4</v>
      </c>
      <c r="C10" s="2" t="s">
        <v>242</v>
      </c>
    </row>
    <row collapsed="false" customFormat="true" customHeight="false" hidden="false" outlineLevel="0" r="11">
      <c r="A11" s="2" t="s">
        <v>156</v>
      </c>
      <c r="B11" s="2" t="n">
        <v>5</v>
      </c>
      <c r="C11" s="2" t="s">
        <v>155</v>
      </c>
    </row>
    <row collapsed="false" customFormat="true" customHeight="false" hidden="false" outlineLevel="0" r="12">
      <c r="A12" s="2" t="s">
        <v>230</v>
      </c>
      <c r="B12" s="2" t="n">
        <v>6</v>
      </c>
      <c r="C12" s="2" t="s">
        <v>229</v>
      </c>
    </row>
    <row collapsed="false" customFormat="true" customHeight="false" hidden="false" outlineLevel="0" r="13">
      <c r="A13" s="2" t="s">
        <v>225</v>
      </c>
      <c r="B13" s="2" t="n">
        <v>7</v>
      </c>
      <c r="C13" s="2" t="s">
        <v>224</v>
      </c>
    </row>
    <row collapsed="false" customFormat="true" customHeight="false" hidden="false" outlineLevel="0" r="14">
      <c r="A14" s="2" t="s">
        <v>130</v>
      </c>
      <c r="B14" s="2" t="n">
        <v>7</v>
      </c>
      <c r="C14" s="2" t="s">
        <v>129</v>
      </c>
    </row>
    <row collapsed="false" customFormat="true" customHeight="false" hidden="false" outlineLevel="0" r="15">
      <c r="A15" s="2" t="s">
        <v>266</v>
      </c>
      <c r="B15" s="2" t="n">
        <v>7</v>
      </c>
      <c r="C15" s="2" t="s">
        <v>265</v>
      </c>
    </row>
    <row collapsed="false" customFormat="true" customHeight="false" hidden="false" outlineLevel="0" r="16">
      <c r="A16" s="2" t="s">
        <v>223</v>
      </c>
      <c r="B16" s="2" t="n">
        <v>7</v>
      </c>
      <c r="C16" s="2" t="s">
        <v>222</v>
      </c>
    </row>
    <row collapsed="false" customFormat="true" customHeight="false" hidden="false" outlineLevel="0" r="17">
      <c r="A17" s="2" t="s">
        <v>182</v>
      </c>
      <c r="B17" s="2" t="n">
        <v>7</v>
      </c>
      <c r="C17" s="2" t="s">
        <v>181</v>
      </c>
    </row>
    <row collapsed="false" customFormat="true" customHeight="false" hidden="false" outlineLevel="0" r="18">
      <c r="A18" s="2" t="s">
        <v>165</v>
      </c>
      <c r="B18" s="2" t="n">
        <v>8</v>
      </c>
      <c r="C18" s="2" t="s">
        <v>164</v>
      </c>
    </row>
    <row collapsed="false" customFormat="true" customHeight="false" hidden="false" outlineLevel="0" r="19">
      <c r="A19" s="2" t="s">
        <v>283</v>
      </c>
      <c r="B19" s="2" t="n">
        <v>9</v>
      </c>
      <c r="C19" s="2" t="s">
        <v>282</v>
      </c>
    </row>
    <row collapsed="false" customFormat="true" customHeight="false" hidden="false" outlineLevel="0" r="20">
      <c r="A20" s="2" t="s">
        <v>287</v>
      </c>
      <c r="B20" s="2" t="n">
        <v>9</v>
      </c>
      <c r="C20" s="2" t="s">
        <v>286</v>
      </c>
    </row>
    <row collapsed="false" customFormat="true" customHeight="false" hidden="false" outlineLevel="0" r="21">
      <c r="A21" s="2" t="s">
        <v>277</v>
      </c>
      <c r="B21" s="2" t="n">
        <v>9</v>
      </c>
      <c r="C21" s="2" t="s">
        <v>276</v>
      </c>
    </row>
    <row collapsed="false" customFormat="true" customHeight="false" hidden="false" outlineLevel="0" r="22">
      <c r="A22" s="2" t="s">
        <v>140</v>
      </c>
      <c r="B22" s="2" t="n">
        <v>10</v>
      </c>
      <c r="C22" s="2" t="s">
        <v>139</v>
      </c>
    </row>
    <row collapsed="false" customFormat="true" customHeight="false" hidden="false" outlineLevel="0" r="23">
      <c r="A23" s="2" t="s">
        <v>273</v>
      </c>
      <c r="B23" s="2" t="n">
        <v>10</v>
      </c>
      <c r="C23" s="2" t="s">
        <v>272</v>
      </c>
    </row>
    <row collapsed="false" customFormat="true" customHeight="false" hidden="false" outlineLevel="0" r="24">
      <c r="A24" s="2" t="s">
        <v>195</v>
      </c>
      <c r="B24" s="2" t="n">
        <v>11</v>
      </c>
      <c r="C24" s="2" t="s">
        <v>194</v>
      </c>
    </row>
    <row collapsed="false" customFormat="true" customHeight="false" hidden="false" outlineLevel="0" r="25">
      <c r="A25" s="2" t="s">
        <v>247</v>
      </c>
      <c r="B25" s="2" t="n">
        <v>11</v>
      </c>
      <c r="C25" s="2" t="s">
        <v>246</v>
      </c>
    </row>
    <row collapsed="false" customFormat="true" customHeight="false" hidden="false" outlineLevel="0" r="26">
      <c r="A26" s="2" t="s">
        <v>256</v>
      </c>
      <c r="B26" s="2" t="n">
        <v>11</v>
      </c>
      <c r="C26" s="2" t="s">
        <v>255</v>
      </c>
    </row>
    <row collapsed="false" customFormat="true" customHeight="false" hidden="false" outlineLevel="0" r="27">
      <c r="A27" s="2" t="s">
        <v>171</v>
      </c>
      <c r="B27" s="2" t="n">
        <v>12</v>
      </c>
      <c r="C27" s="2" t="s">
        <v>170</v>
      </c>
    </row>
    <row collapsed="false" customFormat="true" customHeight="false" hidden="false" outlineLevel="0" r="28">
      <c r="A28" s="2" t="s">
        <v>123</v>
      </c>
      <c r="B28" s="2" t="n">
        <v>12</v>
      </c>
      <c r="C28" s="2" t="s">
        <v>122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6</i4>
      </variant>
    </vector>
  </HeadingPairs>
  <TitlesOfParts>
    <vector xmlns="http://schemas.openxmlformats.org/officeDocument/2006/docPropsVTypes" baseType="lpstr" size="6">
      <lpstr>19440 Физика 7 класс</lpstr>
      <lpstr>19441 Физика 8 класс</lpstr>
      <lpstr>19442 Физика 9 класс</lpstr>
      <lpstr>19443 Физика 10 класс</lpstr>
      <lpstr>19444 Физика 11 класс</lpstr>
      <lpstr>TimeZones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2026-10-12T07:21:10.154926612Z</dcterms:created>
  <dc:creator>xlsxwriter</dc:creator>
  <cp:lastModifiedBy>xlsxwriter</cp:lastModifiedBy>
</cp:coreProperties>
</file>